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Karinna Handley\Dropbox (IPWEA)\SLSC Conference Committee\MODEL BUSINESS CASE\"/>
    </mc:Choice>
  </mc:AlternateContent>
  <xr:revisionPtr revIDLastSave="0" documentId="8_{2DEAEAF4-3F36-40FA-991A-B9848D57CBDD}" xr6:coauthVersionLast="36" xr6:coauthVersionMax="36" xr10:uidLastSave="{00000000-0000-0000-0000-000000000000}"/>
  <bookViews>
    <workbookView xWindow="75" yWindow="-16320" windowWidth="29040" windowHeight="15840" xr2:uid="{00000000-000D-0000-FFFF-FFFF00000000}"/>
  </bookViews>
  <sheets>
    <sheet name="About the Model &amp; How To Guide" sheetId="2" r:id="rId1"/>
    <sheet name="Lighting Assumptions" sheetId="4" r:id="rId2"/>
    <sheet name="Lighting Calcs" sheetId="5" r:id="rId3"/>
    <sheet name="Lighting Outputs" sheetId="8" r:id="rId4"/>
    <sheet name="CashFlow" sheetId="7" r:id="rId5"/>
    <sheet name="Financing Outputs" sheetId="6" r:id="rId6"/>
  </sheets>
  <definedNames>
    <definedName name="Assumed_operating_hours_per_year_for_enviro_certificates">'Lighting Assumptions'!$C$9</definedName>
    <definedName name="Controls_Cost">'Lighting Assumptions'!$C$16</definedName>
    <definedName name="End_Use_Emissions_Intensity__t_CO2_e_MWh">'Lighting Assumptions'!$C$14</definedName>
    <definedName name="Enviro_Certificate_Conversion_Factor">'Lighting Assumptions'!$C$10</definedName>
    <definedName name="Enviro_Certificate_Years">'Lighting Assumptions'!$C$11</definedName>
    <definedName name="Estimated_Net_Enviro_Certificate_Value">'Lighting Assumptions'!$C$12</definedName>
    <definedName name="Interest_Rate">#REF!</definedName>
    <definedName name="MaxLoan">10</definedName>
    <definedName name="Nominal_council_discount_rate">'Lighting Assumptions'!$C$19</definedName>
    <definedName name="Operating_hours_per_year">'Lighting Assumptions'!$C$7</definedName>
    <definedName name="P">4</definedName>
    <definedName name="_xlnm.Print_Area" localSheetId="0">'About the Model &amp; How To Guide'!$A$1:$Z$57</definedName>
    <definedName name="_xlnm.Print_Area" localSheetId="4">CashFlow!$A$1:$P$73</definedName>
    <definedName name="_xlnm.Print_Area" localSheetId="5">'Financing Outputs'!$A$1:$E$15</definedName>
    <definedName name="_xlnm.Print_Area" localSheetId="3">'Lighting Outputs'!$A$1:$F$31</definedName>
    <definedName name="_xlnm.Print_Titles" localSheetId="4">CashFlow!$A:$E,CashFlow!$1:$1</definedName>
    <definedName name="Project_management_cost_and_contingency">'Lighting Assumptions'!$C$19</definedName>
    <definedName name="Total_Energy_Cost">'Lighting Assumptions'!$C$6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1" i="7" l="1"/>
  <c r="C5" i="8" l="1"/>
  <c r="C6" i="8"/>
  <c r="C7" i="8"/>
  <c r="C9" i="8"/>
  <c r="C19" i="8"/>
  <c r="C13" i="6" l="1"/>
  <c r="C12" i="6"/>
  <c r="E39" i="5"/>
  <c r="C17" i="8" s="1"/>
  <c r="F26" i="7" l="1"/>
  <c r="F32" i="7"/>
  <c r="F30" i="7"/>
  <c r="F31" i="7" s="1"/>
  <c r="F66" i="7"/>
  <c r="P55" i="7"/>
  <c r="O55" i="7"/>
  <c r="N55" i="7"/>
  <c r="M55" i="7"/>
  <c r="L55" i="7"/>
  <c r="K55" i="7"/>
  <c r="J55" i="7"/>
  <c r="I55" i="7"/>
  <c r="H55" i="7"/>
  <c r="G55" i="7"/>
  <c r="F55" i="7"/>
  <c r="P43" i="7"/>
  <c r="O43" i="7"/>
  <c r="N43" i="7"/>
  <c r="M43" i="7"/>
  <c r="L43" i="7"/>
  <c r="K43" i="7"/>
  <c r="J43" i="7"/>
  <c r="I43" i="7"/>
  <c r="H43" i="7"/>
  <c r="G43" i="7"/>
  <c r="G25" i="7"/>
  <c r="G71" i="7" s="1"/>
  <c r="F23" i="7"/>
  <c r="F62" i="7" s="1"/>
  <c r="G20" i="7"/>
  <c r="F58" i="7" l="1"/>
  <c r="F42" i="7" s="1"/>
  <c r="G26" i="7"/>
  <c r="H25" i="7"/>
  <c r="H71" i="7" s="1"/>
  <c r="G23" i="7"/>
  <c r="E55" i="7"/>
  <c r="G59" i="7" l="1"/>
  <c r="G60" i="7" s="1"/>
  <c r="G62" i="7"/>
  <c r="H26" i="7"/>
  <c r="G29" i="7"/>
  <c r="I25" i="7"/>
  <c r="I71" i="7" s="1"/>
  <c r="H23" i="7"/>
  <c r="F46" i="7"/>
  <c r="F47" i="7"/>
  <c r="F45" i="7"/>
  <c r="H59" i="7" l="1"/>
  <c r="H62" i="7"/>
  <c r="H29" i="7"/>
  <c r="I26" i="7"/>
  <c r="J25" i="7"/>
  <c r="J71" i="7" s="1"/>
  <c r="I23" i="7"/>
  <c r="I59" i="7" l="1"/>
  <c r="I62" i="7"/>
  <c r="I29" i="7"/>
  <c r="J23" i="7"/>
  <c r="J26" i="7"/>
  <c r="K25" i="7"/>
  <c r="K71" i="7" s="1"/>
  <c r="J59" i="7" l="1"/>
  <c r="J60" i="7" s="1"/>
  <c r="J62" i="7"/>
  <c r="K23" i="7"/>
  <c r="K62" i="7" s="1"/>
  <c r="J29" i="7"/>
  <c r="K26" i="7"/>
  <c r="L25" i="7"/>
  <c r="L26" i="7" l="1"/>
  <c r="L71" i="7"/>
  <c r="K29" i="7"/>
  <c r="K59" i="7"/>
  <c r="K60" i="7" s="1"/>
  <c r="M25" i="7"/>
  <c r="L23" i="7"/>
  <c r="M26" i="7" l="1"/>
  <c r="M71" i="7"/>
  <c r="L59" i="7"/>
  <c r="L60" i="7" s="1"/>
  <c r="L62" i="7"/>
  <c r="M23" i="7"/>
  <c r="M29" i="7" s="1"/>
  <c r="N25" i="7"/>
  <c r="L29" i="7"/>
  <c r="N26" i="7" l="1"/>
  <c r="N71" i="7"/>
  <c r="M59" i="7"/>
  <c r="M60" i="7" s="1"/>
  <c r="M62" i="7"/>
  <c r="N23" i="7"/>
  <c r="N29" i="7" s="1"/>
  <c r="O25" i="7"/>
  <c r="P25" i="7" s="1"/>
  <c r="P71" i="7" s="1"/>
  <c r="O26" i="7" l="1"/>
  <c r="O71" i="7"/>
  <c r="N59" i="7"/>
  <c r="N60" i="7" s="1"/>
  <c r="N62" i="7"/>
  <c r="O23" i="7"/>
  <c r="O29" i="7"/>
  <c r="P26" i="7"/>
  <c r="P23" i="7"/>
  <c r="O59" i="7" l="1"/>
  <c r="O60" i="7" s="1"/>
  <c r="O62" i="7"/>
  <c r="P59" i="7"/>
  <c r="P62" i="7"/>
  <c r="P29" i="7"/>
  <c r="P60" i="7" l="1"/>
  <c r="E62" i="7" l="1"/>
  <c r="M37" i="5" l="1"/>
  <c r="M36" i="5"/>
  <c r="M35" i="5"/>
  <c r="M34" i="5"/>
  <c r="M33" i="5"/>
  <c r="M32" i="5"/>
  <c r="M30" i="5"/>
  <c r="M29" i="5"/>
  <c r="M28" i="5"/>
  <c r="M27" i="5"/>
  <c r="M26" i="5"/>
  <c r="M24" i="5"/>
  <c r="M23" i="5"/>
  <c r="M22" i="5"/>
  <c r="M20" i="5"/>
  <c r="M19" i="5"/>
  <c r="M17" i="5"/>
  <c r="M16" i="5"/>
  <c r="M14" i="5"/>
  <c r="M13" i="5"/>
  <c r="M12" i="5"/>
  <c r="M11" i="5"/>
  <c r="M10" i="5"/>
  <c r="M9" i="5"/>
  <c r="M8" i="5"/>
  <c r="K37" i="5"/>
  <c r="K36" i="5"/>
  <c r="K35" i="5"/>
  <c r="K34" i="5"/>
  <c r="K33" i="5"/>
  <c r="K32" i="5"/>
  <c r="K30" i="5"/>
  <c r="K29" i="5"/>
  <c r="K28" i="5"/>
  <c r="K27" i="5"/>
  <c r="K26" i="5"/>
  <c r="K24" i="5"/>
  <c r="K23" i="5"/>
  <c r="K22" i="5"/>
  <c r="K20" i="5"/>
  <c r="K19" i="5"/>
  <c r="K17" i="5"/>
  <c r="K16" i="5"/>
  <c r="K14" i="5"/>
  <c r="K13" i="5"/>
  <c r="K12" i="5"/>
  <c r="K11" i="5"/>
  <c r="K10" i="5"/>
  <c r="K9" i="5"/>
  <c r="K8" i="5"/>
  <c r="M7" i="5"/>
  <c r="K7" i="5"/>
  <c r="AE30" i="5"/>
  <c r="AE29" i="5"/>
  <c r="AE28" i="5"/>
  <c r="AE27" i="5"/>
  <c r="AE26" i="5"/>
  <c r="AE24" i="5"/>
  <c r="AE23" i="5"/>
  <c r="AE22" i="5"/>
  <c r="AE20" i="5"/>
  <c r="AE19" i="5"/>
  <c r="AE17" i="5"/>
  <c r="AE16" i="5"/>
  <c r="AE14" i="5"/>
  <c r="AE13" i="5"/>
  <c r="AE12" i="5"/>
  <c r="AE11" i="5"/>
  <c r="AE10" i="5"/>
  <c r="AE9" i="5"/>
  <c r="AE8" i="5"/>
  <c r="AE7" i="5"/>
  <c r="M39" i="5" l="1"/>
  <c r="K39" i="5"/>
  <c r="C25" i="8" s="1"/>
  <c r="H37" i="5"/>
  <c r="I37" i="5" s="1"/>
  <c r="H36" i="5"/>
  <c r="I36" i="5" s="1"/>
  <c r="H35" i="5"/>
  <c r="I35" i="5" s="1"/>
  <c r="H34" i="5"/>
  <c r="I34" i="5" s="1"/>
  <c r="H33" i="5"/>
  <c r="I33" i="5" s="1"/>
  <c r="H32" i="5"/>
  <c r="I32" i="5" s="1"/>
  <c r="Y37" i="5"/>
  <c r="Y36" i="5"/>
  <c r="Y35" i="5"/>
  <c r="Y34" i="5"/>
  <c r="Y33" i="5"/>
  <c r="Y32" i="5"/>
  <c r="Y30" i="5"/>
  <c r="Y29" i="5"/>
  <c r="Y28" i="5"/>
  <c r="Y27" i="5"/>
  <c r="Y26" i="5"/>
  <c r="Y24" i="5"/>
  <c r="Y23" i="5"/>
  <c r="Y22" i="5"/>
  <c r="Y20" i="5"/>
  <c r="Y19" i="5"/>
  <c r="Y17" i="5"/>
  <c r="Y16" i="5"/>
  <c r="Y14" i="5"/>
  <c r="Y13" i="5"/>
  <c r="Y12" i="5"/>
  <c r="Y11" i="5"/>
  <c r="Y10" i="5"/>
  <c r="Y9" i="5"/>
  <c r="Y8" i="5"/>
  <c r="Y7" i="5"/>
  <c r="V37" i="5"/>
  <c r="V36" i="5"/>
  <c r="V35" i="5"/>
  <c r="AB35" i="5" s="1"/>
  <c r="V34" i="5"/>
  <c r="V33" i="5"/>
  <c r="V32" i="5"/>
  <c r="V30" i="5"/>
  <c r="V29" i="5"/>
  <c r="AB29" i="5" s="1"/>
  <c r="V28" i="5"/>
  <c r="AB28" i="5" s="1"/>
  <c r="V27" i="5"/>
  <c r="V26" i="5"/>
  <c r="AB26" i="5" s="1"/>
  <c r="V24" i="5"/>
  <c r="AB24" i="5" s="1"/>
  <c r="V23" i="5"/>
  <c r="V22" i="5"/>
  <c r="V20" i="5"/>
  <c r="V19" i="5"/>
  <c r="V17" i="5"/>
  <c r="V16" i="5"/>
  <c r="V14" i="5"/>
  <c r="V13" i="5"/>
  <c r="V12" i="5"/>
  <c r="AB12" i="5" s="1"/>
  <c r="V11" i="5"/>
  <c r="V10" i="5"/>
  <c r="V9" i="5"/>
  <c r="V8" i="5"/>
  <c r="AB8" i="5" s="1"/>
  <c r="V7" i="5"/>
  <c r="AB7" i="5" s="1"/>
  <c r="S37" i="5"/>
  <c r="Q37" i="5"/>
  <c r="S36" i="5"/>
  <c r="Q36" i="5"/>
  <c r="S35" i="5"/>
  <c r="Q35" i="5"/>
  <c r="S34" i="5"/>
  <c r="Q34" i="5"/>
  <c r="S33" i="5"/>
  <c r="Q33" i="5"/>
  <c r="S32" i="5"/>
  <c r="Q32" i="5"/>
  <c r="S30" i="5"/>
  <c r="Q30" i="5"/>
  <c r="S29" i="5"/>
  <c r="Q29" i="5"/>
  <c r="S28" i="5"/>
  <c r="Q28" i="5"/>
  <c r="S27" i="5"/>
  <c r="Q27" i="5"/>
  <c r="S26" i="5"/>
  <c r="Q26" i="5"/>
  <c r="S24" i="5"/>
  <c r="Q24" i="5"/>
  <c r="S23" i="5"/>
  <c r="Q23" i="5"/>
  <c r="S22" i="5"/>
  <c r="Q22" i="5"/>
  <c r="S20" i="5"/>
  <c r="Q20" i="5"/>
  <c r="S19" i="5"/>
  <c r="Q19" i="5"/>
  <c r="S17" i="5"/>
  <c r="Q17" i="5"/>
  <c r="S16" i="5"/>
  <c r="Q16" i="5"/>
  <c r="S14" i="5"/>
  <c r="Q14" i="5"/>
  <c r="S13" i="5"/>
  <c r="Q13" i="5"/>
  <c r="S12" i="5"/>
  <c r="Q12" i="5"/>
  <c r="S11" i="5"/>
  <c r="Q11" i="5"/>
  <c r="S10" i="5"/>
  <c r="Q10" i="5"/>
  <c r="S9" i="5"/>
  <c r="Q9" i="5"/>
  <c r="S8" i="5"/>
  <c r="Q8" i="5"/>
  <c r="S7" i="5"/>
  <c r="Q7" i="5"/>
  <c r="H30" i="5"/>
  <c r="H29" i="5"/>
  <c r="H28" i="5"/>
  <c r="H27" i="5"/>
  <c r="H26" i="5"/>
  <c r="H24" i="5"/>
  <c r="H23" i="5"/>
  <c r="H22" i="5"/>
  <c r="H20" i="5"/>
  <c r="H19" i="5"/>
  <c r="H17" i="5"/>
  <c r="H16" i="5"/>
  <c r="H14" i="5"/>
  <c r="H13" i="5"/>
  <c r="H12" i="5"/>
  <c r="H11" i="5"/>
  <c r="H10" i="5"/>
  <c r="H9" i="5"/>
  <c r="H8" i="5"/>
  <c r="H7" i="5"/>
  <c r="G7" i="5"/>
  <c r="Q39" i="5" l="1"/>
  <c r="C14" i="8" s="1"/>
  <c r="AG11" i="5"/>
  <c r="AB11" i="5"/>
  <c r="X16" i="5"/>
  <c r="AB16" i="5"/>
  <c r="AG22" i="5"/>
  <c r="AB22" i="5"/>
  <c r="X27" i="5"/>
  <c r="AB27" i="5"/>
  <c r="AG32" i="5"/>
  <c r="AB32" i="5"/>
  <c r="AG36" i="5"/>
  <c r="AB36" i="5"/>
  <c r="Z9" i="5"/>
  <c r="Z12" i="5"/>
  <c r="Z17" i="5"/>
  <c r="Z23" i="5"/>
  <c r="Z28" i="5"/>
  <c r="Z32" i="5"/>
  <c r="Z36" i="5"/>
  <c r="AG29" i="5"/>
  <c r="AG12" i="5"/>
  <c r="AG17" i="5"/>
  <c r="AB17" i="5"/>
  <c r="AG23" i="5"/>
  <c r="AB23" i="5"/>
  <c r="AG33" i="5"/>
  <c r="AB33" i="5"/>
  <c r="AG37" i="5"/>
  <c r="AB37" i="5"/>
  <c r="Z10" i="5"/>
  <c r="Z13" i="5"/>
  <c r="Z19" i="5"/>
  <c r="Z24" i="5"/>
  <c r="Z29" i="5"/>
  <c r="Z33" i="5"/>
  <c r="Z37" i="5"/>
  <c r="AG24" i="5"/>
  <c r="AG8" i="5"/>
  <c r="AG9" i="5"/>
  <c r="AB9" i="5"/>
  <c r="AG13" i="5"/>
  <c r="AB13" i="5"/>
  <c r="AG19" i="5"/>
  <c r="AB19" i="5"/>
  <c r="AG34" i="5"/>
  <c r="AB34" i="5"/>
  <c r="X11" i="5"/>
  <c r="Z14" i="5"/>
  <c r="Z20" i="5"/>
  <c r="Z26" i="5"/>
  <c r="Z30" i="5"/>
  <c r="Z34" i="5"/>
  <c r="AG27" i="5"/>
  <c r="X10" i="5"/>
  <c r="AB10" i="5"/>
  <c r="X14" i="5"/>
  <c r="AB14" i="5"/>
  <c r="X20" i="5"/>
  <c r="AB20" i="5"/>
  <c r="X30" i="5"/>
  <c r="AB30" i="5"/>
  <c r="Z8" i="5"/>
  <c r="Z11" i="5"/>
  <c r="Z16" i="5"/>
  <c r="Z22" i="5"/>
  <c r="X32" i="5"/>
  <c r="Z35" i="5"/>
  <c r="AG28" i="5"/>
  <c r="AC7" i="5"/>
  <c r="Z7" i="5"/>
  <c r="AC27" i="5"/>
  <c r="Z27" i="5"/>
  <c r="N14" i="5"/>
  <c r="I14" i="5"/>
  <c r="N11" i="5"/>
  <c r="I11" i="5"/>
  <c r="AC32" i="5"/>
  <c r="X36" i="5"/>
  <c r="AG10" i="5"/>
  <c r="N8" i="5"/>
  <c r="I8" i="5"/>
  <c r="N12" i="5"/>
  <c r="I12" i="5"/>
  <c r="AC16" i="5"/>
  <c r="X22" i="5"/>
  <c r="AC36" i="5"/>
  <c r="AG30" i="5"/>
  <c r="AG16" i="5"/>
  <c r="N10" i="5"/>
  <c r="I10" i="5"/>
  <c r="X26" i="5"/>
  <c r="AG26" i="5"/>
  <c r="X35" i="5"/>
  <c r="AG35" i="5"/>
  <c r="AG14" i="5"/>
  <c r="N7" i="5"/>
  <c r="I7" i="5"/>
  <c r="AC11" i="5"/>
  <c r="N9" i="5"/>
  <c r="I9" i="5"/>
  <c r="N13" i="5"/>
  <c r="I13" i="5"/>
  <c r="X7" i="5"/>
  <c r="AC22" i="5"/>
  <c r="AG20" i="5"/>
  <c r="AG7" i="5"/>
  <c r="N23" i="5"/>
  <c r="I23" i="5"/>
  <c r="N28" i="5"/>
  <c r="I28" i="5"/>
  <c r="N19" i="5"/>
  <c r="I19" i="5"/>
  <c r="N24" i="5"/>
  <c r="I24" i="5"/>
  <c r="N20" i="5"/>
  <c r="I20" i="5"/>
  <c r="N26" i="5"/>
  <c r="I26" i="5"/>
  <c r="N30" i="5"/>
  <c r="I30" i="5"/>
  <c r="N17" i="5"/>
  <c r="I17" i="5"/>
  <c r="N29" i="5"/>
  <c r="I29" i="5"/>
  <c r="N16" i="5"/>
  <c r="I16" i="5"/>
  <c r="N22" i="5"/>
  <c r="I22" i="5"/>
  <c r="N27" i="5"/>
  <c r="I27" i="5"/>
  <c r="X13" i="5"/>
  <c r="X29" i="5"/>
  <c r="AC24" i="5"/>
  <c r="AC29" i="5"/>
  <c r="AC34" i="5"/>
  <c r="X8" i="5"/>
  <c r="X12" i="5"/>
  <c r="X17" i="5"/>
  <c r="X23" i="5"/>
  <c r="X28" i="5"/>
  <c r="X33" i="5"/>
  <c r="X37" i="5"/>
  <c r="X9" i="5"/>
  <c r="X19" i="5"/>
  <c r="X24" i="5"/>
  <c r="X34" i="5"/>
  <c r="AC9" i="5"/>
  <c r="AC13" i="5"/>
  <c r="AC19" i="5"/>
  <c r="AC8" i="5"/>
  <c r="AC10" i="5"/>
  <c r="AC12" i="5"/>
  <c r="AC14" i="5"/>
  <c r="AC17" i="5"/>
  <c r="AC20" i="5"/>
  <c r="AC23" i="5"/>
  <c r="AC26" i="5"/>
  <c r="AC28" i="5"/>
  <c r="AC30" i="5"/>
  <c r="AC33" i="5"/>
  <c r="AC35" i="5"/>
  <c r="AC37" i="5"/>
  <c r="S39" i="5"/>
  <c r="C15" i="8" s="1"/>
  <c r="V39" i="5"/>
  <c r="AB39" i="5" l="1"/>
  <c r="D25" i="8" s="1"/>
  <c r="E25" i="8" s="1"/>
  <c r="AG39" i="5"/>
  <c r="C13" i="8" s="1"/>
  <c r="Z39" i="5"/>
  <c r="D24" i="8" s="1"/>
  <c r="D26" i="8" s="1"/>
  <c r="I39" i="5"/>
  <c r="C24" i="8" s="1"/>
  <c r="AC39" i="5"/>
  <c r="X39" i="5"/>
  <c r="D30" i="8" s="1"/>
  <c r="D31" i="8" s="1"/>
  <c r="G37" i="5"/>
  <c r="G36" i="5"/>
  <c r="G35" i="5"/>
  <c r="G34" i="5"/>
  <c r="G33" i="5"/>
  <c r="G32" i="5"/>
  <c r="G30" i="5"/>
  <c r="G29" i="5"/>
  <c r="G28" i="5"/>
  <c r="G27" i="5"/>
  <c r="G26" i="5"/>
  <c r="G24" i="5"/>
  <c r="G23" i="5"/>
  <c r="G22" i="5"/>
  <c r="G20" i="5"/>
  <c r="G19" i="5"/>
  <c r="G17" i="5"/>
  <c r="G16" i="5"/>
  <c r="G14" i="5"/>
  <c r="G13" i="5"/>
  <c r="G12" i="5"/>
  <c r="G11" i="5"/>
  <c r="G10" i="5"/>
  <c r="G9" i="5"/>
  <c r="G8" i="5"/>
  <c r="C12" i="4"/>
  <c r="T7" i="5" s="1"/>
  <c r="E24" i="8" l="1"/>
  <c r="E26" i="8" s="1"/>
  <c r="C26" i="8"/>
  <c r="T11" i="5"/>
  <c r="T22" i="5"/>
  <c r="N36" i="5"/>
  <c r="T36" i="5"/>
  <c r="T8" i="5"/>
  <c r="T12" i="5"/>
  <c r="T17" i="5"/>
  <c r="T23" i="5"/>
  <c r="T28" i="5"/>
  <c r="N33" i="5"/>
  <c r="T33" i="5"/>
  <c r="N37" i="5"/>
  <c r="T37" i="5"/>
  <c r="T16" i="5"/>
  <c r="T27" i="5"/>
  <c r="N32" i="5"/>
  <c r="T32" i="5"/>
  <c r="T9" i="5"/>
  <c r="T13" i="5"/>
  <c r="T19" i="5"/>
  <c r="T24" i="5"/>
  <c r="T29" i="5"/>
  <c r="N34" i="5"/>
  <c r="T34" i="5"/>
  <c r="T10" i="5"/>
  <c r="T14" i="5"/>
  <c r="T20" i="5"/>
  <c r="T26" i="5"/>
  <c r="T30" i="5"/>
  <c r="N35" i="5"/>
  <c r="T35" i="5"/>
  <c r="G39" i="5"/>
  <c r="C8" i="6" l="1"/>
  <c r="C30" i="8"/>
  <c r="N39" i="5"/>
  <c r="T39" i="5"/>
  <c r="C16" i="8" s="1"/>
  <c r="C18" i="8" s="1"/>
  <c r="C20" i="8" s="1"/>
  <c r="C31" i="8" l="1"/>
  <c r="E30" i="8"/>
  <c r="E7" i="7"/>
  <c r="F59" i="7" s="1"/>
  <c r="F60" i="7" s="1"/>
  <c r="F30" i="8" l="1"/>
  <c r="E31" i="8"/>
  <c r="E17" i="7"/>
  <c r="C6" i="6" s="1"/>
  <c r="F31" i="8" l="1"/>
  <c r="C9" i="6"/>
  <c r="F9" i="6" s="1"/>
  <c r="E9" i="6" s="1"/>
  <c r="N58" i="7"/>
  <c r="N42" i="7" s="1"/>
  <c r="C5" i="6"/>
  <c r="E5" i="6" s="1"/>
  <c r="O58" i="7"/>
  <c r="O42" i="7" s="1"/>
  <c r="M58" i="7"/>
  <c r="M42" i="7" s="1"/>
  <c r="I19" i="7"/>
  <c r="L58" i="7"/>
  <c r="L42" i="7" s="1"/>
  <c r="P58" i="7"/>
  <c r="P42" i="7" s="1"/>
  <c r="K58" i="7"/>
  <c r="K42" i="7" s="1"/>
  <c r="I58" i="7"/>
  <c r="I42" i="7" s="1"/>
  <c r="H58" i="7"/>
  <c r="H42" i="7" s="1"/>
  <c r="G58" i="7"/>
  <c r="J58" i="7"/>
  <c r="J42" i="7" s="1"/>
  <c r="J8" i="7"/>
  <c r="G70" i="7" l="1"/>
  <c r="G72" i="7" s="1"/>
  <c r="G42" i="7"/>
  <c r="F29" i="7"/>
  <c r="L70" i="7"/>
  <c r="L72" i="7" s="1"/>
  <c r="N70" i="7"/>
  <c r="N72" i="7" s="1"/>
  <c r="M70" i="7"/>
  <c r="M72" i="7" s="1"/>
  <c r="O70" i="7"/>
  <c r="O72" i="7" s="1"/>
  <c r="K70" i="7"/>
  <c r="K72" i="7" s="1"/>
  <c r="F37" i="7"/>
  <c r="F43" i="7" s="1"/>
  <c r="J70" i="7"/>
  <c r="J72" i="7" s="1"/>
  <c r="E58" i="7"/>
  <c r="J19" i="7" s="1"/>
  <c r="P70" i="7"/>
  <c r="P72" i="7" s="1"/>
  <c r="H60" i="7" l="1"/>
  <c r="E43" i="7"/>
  <c r="E37" i="7"/>
  <c r="J10" i="7" s="1"/>
  <c r="I10" i="7"/>
  <c r="I60" i="7"/>
  <c r="I70" i="7" l="1"/>
  <c r="I72" i="7" s="1"/>
  <c r="H70" i="7"/>
  <c r="H72" i="7" l="1"/>
  <c r="F33" i="7"/>
  <c r="F48" i="7" s="1"/>
  <c r="M36" i="7"/>
  <c r="P36" i="7"/>
  <c r="O36" i="7"/>
  <c r="F36" i="7"/>
  <c r="J36" i="7"/>
  <c r="H36" i="7"/>
  <c r="G36" i="7"/>
  <c r="N36" i="7"/>
  <c r="I36" i="7"/>
  <c r="L36" i="7"/>
  <c r="K36" i="7"/>
  <c r="E59" i="7"/>
  <c r="E42" i="7" l="1"/>
  <c r="G38" i="7"/>
  <c r="G44" i="7" s="1"/>
  <c r="E60" i="7"/>
  <c r="F70" i="7"/>
  <c r="N38" i="7"/>
  <c r="N44" i="7" s="1"/>
  <c r="P38" i="7"/>
  <c r="P44" i="7" s="1"/>
  <c r="L38" i="7"/>
  <c r="L44" i="7" s="1"/>
  <c r="H38" i="7"/>
  <c r="H44" i="7" s="1"/>
  <c r="F38" i="7"/>
  <c r="F44" i="7" s="1"/>
  <c r="F50" i="7" s="1"/>
  <c r="M38" i="7"/>
  <c r="M44" i="7" s="1"/>
  <c r="O38" i="7"/>
  <c r="O44" i="7" s="1"/>
  <c r="K38" i="7"/>
  <c r="K44" i="7" s="1"/>
  <c r="I38" i="7"/>
  <c r="I44" i="7" s="1"/>
  <c r="J38" i="7"/>
  <c r="J44" i="7" s="1"/>
  <c r="G28" i="7"/>
  <c r="G32" i="7" l="1"/>
  <c r="F72" i="7"/>
  <c r="E72" i="7" s="1"/>
  <c r="F61" i="7"/>
  <c r="F63" i="7" s="1"/>
  <c r="G30" i="7"/>
  <c r="G31" i="7" s="1"/>
  <c r="E38" i="7"/>
  <c r="J20" i="7" l="1"/>
  <c r="C7" i="6" s="1"/>
  <c r="G46" i="7"/>
  <c r="E44" i="7"/>
  <c r="G33" i="7"/>
  <c r="G48" i="7" l="1"/>
  <c r="H28" i="7"/>
  <c r="H32" i="7" s="1"/>
  <c r="G47" i="7"/>
  <c r="C14" i="6" s="1"/>
  <c r="G45" i="7"/>
  <c r="F64" i="7"/>
  <c r="G50" i="7" l="1"/>
  <c r="C15" i="6" s="1"/>
  <c r="E15" i="6" s="1"/>
  <c r="H30" i="7"/>
  <c r="H31" i="7" s="1"/>
  <c r="G61" i="7"/>
  <c r="H46" i="7" l="1"/>
  <c r="G63" i="7"/>
  <c r="G64" i="7" s="1"/>
  <c r="F67" i="7"/>
  <c r="F68" i="7" s="1"/>
  <c r="G66" i="7" s="1"/>
  <c r="H45" i="7" l="1"/>
  <c r="H50" i="7" s="1"/>
  <c r="H47" i="7"/>
  <c r="H33" i="7"/>
  <c r="G67" i="7" l="1"/>
  <c r="G68" i="7" s="1"/>
  <c r="H66" i="7" s="1"/>
  <c r="H61" i="7"/>
  <c r="H48" i="7"/>
  <c r="I28" i="7"/>
  <c r="I30" i="7" l="1"/>
  <c r="I31" i="7" s="1"/>
  <c r="I32" i="7"/>
  <c r="H63" i="7"/>
  <c r="I46" i="7" l="1"/>
  <c r="H64" i="7"/>
  <c r="H67" i="7" l="1"/>
  <c r="H68" i="7" s="1"/>
  <c r="I66" i="7" s="1"/>
  <c r="I45" i="7"/>
  <c r="I50" i="7" s="1"/>
  <c r="I47" i="7"/>
  <c r="I33" i="7"/>
  <c r="I48" i="7" l="1"/>
  <c r="J28" i="7"/>
  <c r="I61" i="7"/>
  <c r="J30" i="7" l="1"/>
  <c r="J31" i="7" s="1"/>
  <c r="J32" i="7"/>
  <c r="I63" i="7"/>
  <c r="J46" i="7" l="1"/>
  <c r="I64" i="7"/>
  <c r="I67" i="7" l="1"/>
  <c r="I68" i="7" s="1"/>
  <c r="J66" i="7" s="1"/>
  <c r="J45" i="7"/>
  <c r="J50" i="7" s="1"/>
  <c r="J47" i="7"/>
  <c r="J33" i="7"/>
  <c r="J61" i="7" l="1"/>
  <c r="J48" i="7"/>
  <c r="K28" i="7"/>
  <c r="K30" i="7" l="1"/>
  <c r="K31" i="7" s="1"/>
  <c r="K32" i="7"/>
  <c r="K46" i="7" s="1"/>
  <c r="J63" i="7"/>
  <c r="K33" i="7" l="1"/>
  <c r="K48" i="7" s="1"/>
  <c r="J64" i="7"/>
  <c r="K47" i="7"/>
  <c r="K61" i="7" s="1"/>
  <c r="K63" i="7" s="1"/>
  <c r="K64" i="7" s="1"/>
  <c r="K67" i="7" s="1"/>
  <c r="K45" i="7"/>
  <c r="K50" i="7" s="1"/>
  <c r="L28" i="7" l="1"/>
  <c r="L32" i="7" s="1"/>
  <c r="J67" i="7"/>
  <c r="J68" i="7" s="1"/>
  <c r="K66" i="7" s="1"/>
  <c r="K68" i="7" s="1"/>
  <c r="L66" i="7" s="1"/>
  <c r="L46" i="7" l="1"/>
  <c r="L30" i="7"/>
  <c r="L31" i="7" l="1"/>
  <c r="L45" i="7" s="1"/>
  <c r="L50" i="7" s="1"/>
  <c r="L47" i="7" l="1"/>
  <c r="L61" i="7" s="1"/>
  <c r="L63" i="7" s="1"/>
  <c r="L64" i="7" s="1"/>
  <c r="L67" i="7" s="1"/>
  <c r="L68" i="7" s="1"/>
  <c r="M66" i="7" s="1"/>
  <c r="L33" i="7"/>
  <c r="L48" i="7" s="1"/>
  <c r="M28" i="7" l="1"/>
  <c r="M30" i="7" s="1"/>
  <c r="M32" i="7" l="1"/>
  <c r="M46" i="7" s="1"/>
  <c r="M31" i="7"/>
  <c r="M45" i="7" s="1"/>
  <c r="M50" i="7" l="1"/>
  <c r="M47" i="7"/>
  <c r="M61" i="7" s="1"/>
  <c r="M63" i="7" s="1"/>
  <c r="M64" i="7" s="1"/>
  <c r="M67" i="7" s="1"/>
  <c r="M68" i="7" s="1"/>
  <c r="N66" i="7" s="1"/>
  <c r="M33" i="7"/>
  <c r="M48" i="7" s="1"/>
  <c r="N28" i="7" l="1"/>
  <c r="N30" i="7" s="1"/>
  <c r="N32" i="7" l="1"/>
  <c r="N46" i="7" s="1"/>
  <c r="N31" i="7"/>
  <c r="N33" i="7" l="1"/>
  <c r="N48" i="7" s="1"/>
  <c r="N45" i="7"/>
  <c r="N50" i="7" s="1"/>
  <c r="N47" i="7"/>
  <c r="N61" i="7" s="1"/>
  <c r="N63" i="7" s="1"/>
  <c r="N64" i="7" s="1"/>
  <c r="N67" i="7" s="1"/>
  <c r="N68" i="7" s="1"/>
  <c r="O66" i="7" s="1"/>
  <c r="O28" i="7" l="1"/>
  <c r="O30" i="7" s="1"/>
  <c r="O32" i="7" l="1"/>
  <c r="O46" i="7" s="1"/>
  <c r="O31" i="7"/>
  <c r="O45" i="7" s="1"/>
  <c r="O50" i="7" l="1"/>
  <c r="O33" i="7"/>
  <c r="O48" i="7" s="1"/>
  <c r="O47" i="7"/>
  <c r="O61" i="7" s="1"/>
  <c r="O63" i="7" s="1"/>
  <c r="O64" i="7" s="1"/>
  <c r="O67" i="7" s="1"/>
  <c r="O68" i="7" s="1"/>
  <c r="P66" i="7" s="1"/>
  <c r="P28" i="7" l="1"/>
  <c r="P30" i="7" s="1"/>
  <c r="P32" i="7" l="1"/>
  <c r="P46" i="7" s="1"/>
  <c r="P31" i="7"/>
  <c r="P45" i="7" s="1"/>
  <c r="P50" i="7" l="1"/>
  <c r="I17" i="7" s="1"/>
  <c r="P47" i="7"/>
  <c r="P61" i="7" s="1"/>
  <c r="P63" i="7" s="1"/>
  <c r="P64" i="7" s="1"/>
  <c r="P67" i="7" s="1"/>
  <c r="P68" i="7" s="1"/>
  <c r="P33" i="7"/>
  <c r="P48" i="7" s="1"/>
  <c r="E50" i="7" l="1"/>
  <c r="J17" i="7" s="1"/>
  <c r="I11" i="7" l="1"/>
  <c r="I12" i="7" l="1"/>
  <c r="E30" i="7" l="1"/>
  <c r="J11" i="7" s="1"/>
  <c r="E46" i="7"/>
  <c r="E32" i="7"/>
  <c r="E31" i="7" l="1"/>
  <c r="E45" i="7" l="1"/>
  <c r="E47" i="7"/>
  <c r="J12" i="7" s="1"/>
  <c r="E61" i="7" l="1"/>
  <c r="E63" i="7" l="1"/>
  <c r="E6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Graham Mawer</author>
  </authors>
  <commentList>
    <comment ref="C14" authorId="0" shapeId="0" xr:uid="{4D6EDA89-99BB-4021-9CF4-83E38517A663}">
      <text>
        <r>
          <rPr>
            <sz val="9"/>
            <color indexed="81"/>
            <rFont val="Tahoma"/>
            <family val="2"/>
          </rPr>
          <t>See pulldown list for different emissions intensities in different regions</t>
        </r>
      </text>
    </comment>
    <comment ref="C16" authorId="0" shapeId="0" xr:uid="{97F9E4B7-BE5D-453F-874D-F389F5A3AEE1}">
      <text>
        <r>
          <rPr>
            <sz val="9"/>
            <color indexed="81"/>
            <rFont val="Tahoma"/>
            <family val="2"/>
          </rPr>
          <t>See pulldown list below for choice of different controls options including range of smart controls options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Graham Mawer</author>
  </authors>
  <commentList>
    <comment ref="F32" authorId="0" shapeId="0" xr:uid="{AA2BEF12-91AD-4544-974B-EEB86DC1E5C4}">
      <text>
        <r>
          <rPr>
            <b/>
            <sz val="9"/>
            <color indexed="81"/>
            <rFont val="Tahoma"/>
            <family val="2"/>
          </rPr>
          <t>See AEMO Unmetered Load Table for energy consumption of additional lighting types</t>
        </r>
      </text>
    </comment>
    <comment ref="W32" authorId="0" shapeId="0" xr:uid="{B66BA1AA-5291-432A-9C05-ACA8CFDB8AD3}">
      <text>
        <r>
          <rPr>
            <b/>
            <sz val="9"/>
            <color indexed="81"/>
            <rFont val="Tahoma"/>
            <family val="2"/>
          </rPr>
          <t>See AEMO Unmetered Load Table for energy consumption of additional lighting types</t>
        </r>
      </text>
    </comment>
    <comment ref="F33" authorId="0" shapeId="0" xr:uid="{8EDC9F4B-29A9-447A-8D21-C559D275EFE6}">
      <text>
        <r>
          <rPr>
            <b/>
            <sz val="9"/>
            <color indexed="81"/>
            <rFont val="Tahoma"/>
            <family val="2"/>
          </rPr>
          <t>See AEMO Unmetered Load Table for energy consumption of additional lighting types</t>
        </r>
      </text>
    </comment>
    <comment ref="W33" authorId="0" shapeId="0" xr:uid="{18226D30-F026-466A-927F-D627C2227E4E}">
      <text>
        <r>
          <rPr>
            <b/>
            <sz val="9"/>
            <color indexed="81"/>
            <rFont val="Tahoma"/>
            <family val="2"/>
          </rPr>
          <t>See AEMO Unmetered Load Table for energy consumption of additional lighting types</t>
        </r>
      </text>
    </comment>
    <comment ref="F34" authorId="0" shapeId="0" xr:uid="{DBD2745D-5F16-4183-907E-E1CF9A3F2CBD}">
      <text>
        <r>
          <rPr>
            <b/>
            <sz val="9"/>
            <color indexed="81"/>
            <rFont val="Tahoma"/>
            <family val="2"/>
          </rPr>
          <t>See AEMO Unmetered Load Table for energy consumption of additional lighting types</t>
        </r>
      </text>
    </comment>
    <comment ref="W34" authorId="0" shapeId="0" xr:uid="{0E376B61-DEDB-4773-B8A0-1A532C5287B4}">
      <text>
        <r>
          <rPr>
            <b/>
            <sz val="9"/>
            <color indexed="81"/>
            <rFont val="Tahoma"/>
            <family val="2"/>
          </rPr>
          <t>See AEMO Unmetered Load Table for energy consumption of additional lighting types</t>
        </r>
      </text>
    </comment>
    <comment ref="F35" authorId="0" shapeId="0" xr:uid="{9E5166AD-F9C1-4A44-8078-B14D410B7A9B}">
      <text>
        <r>
          <rPr>
            <b/>
            <sz val="9"/>
            <color indexed="81"/>
            <rFont val="Tahoma"/>
            <family val="2"/>
          </rPr>
          <t>See AEMO Unmetered Load Table for energy consumption of additional lighting types</t>
        </r>
      </text>
    </comment>
    <comment ref="W35" authorId="0" shapeId="0" xr:uid="{FCF16168-73E2-4672-9D92-D74A95C022B1}">
      <text>
        <r>
          <rPr>
            <b/>
            <sz val="9"/>
            <color indexed="81"/>
            <rFont val="Tahoma"/>
            <family val="2"/>
          </rPr>
          <t>See AEMO Unmetered Load Table for energy consumption of additional lighting types</t>
        </r>
      </text>
    </comment>
    <comment ref="F36" authorId="0" shapeId="0" xr:uid="{7CEC6511-1CEE-4C45-8C96-925B6C0A929A}">
      <text>
        <r>
          <rPr>
            <b/>
            <sz val="9"/>
            <color indexed="81"/>
            <rFont val="Tahoma"/>
            <family val="2"/>
          </rPr>
          <t>See AEMO Unmetered Load Table for energy consumption of additional lighting types</t>
        </r>
      </text>
    </comment>
    <comment ref="W36" authorId="0" shapeId="0" xr:uid="{095E304E-1B4B-42DF-9785-1BDA21676DE8}">
      <text>
        <r>
          <rPr>
            <b/>
            <sz val="9"/>
            <color indexed="81"/>
            <rFont val="Tahoma"/>
            <family val="2"/>
          </rPr>
          <t>See AEMO Unmetered Load Table for energy consumption of additional lighting types</t>
        </r>
      </text>
    </comment>
    <comment ref="F37" authorId="0" shapeId="0" xr:uid="{F307A228-4F3A-4F45-9AB5-0E64D08D78CE}">
      <text>
        <r>
          <rPr>
            <b/>
            <sz val="9"/>
            <color indexed="81"/>
            <rFont val="Tahoma"/>
            <family val="2"/>
          </rPr>
          <t>See AEMO Unmetered Load Table for energy consumption of additional lighting types</t>
        </r>
      </text>
    </comment>
    <comment ref="W37" authorId="0" shapeId="0" xr:uid="{5F00A387-E041-4829-8C31-83CBE7CFD469}">
      <text>
        <r>
          <rPr>
            <b/>
            <sz val="9"/>
            <color indexed="81"/>
            <rFont val="Tahoma"/>
            <family val="2"/>
          </rPr>
          <t>See AEMO Unmetered Load Table for energy consumption of additional lighting types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Graham Mawer</author>
  </authors>
  <commentList>
    <comment ref="D25" authorId="0" shapeId="0" xr:uid="{01ED80DD-798C-4240-95FB-430CABA7BC14}">
      <text>
        <r>
          <rPr>
            <b/>
            <sz val="9"/>
            <color indexed="81"/>
            <rFont val="Tahoma"/>
            <family val="2"/>
          </rPr>
          <t>Maintenance tariff only</t>
        </r>
      </text>
    </comment>
  </commentList>
</comments>
</file>

<file path=xl/sharedStrings.xml><?xml version="1.0" encoding="utf-8"?>
<sst xmlns="http://schemas.openxmlformats.org/spreadsheetml/2006/main" count="398" uniqueCount="303">
  <si>
    <t>Period Counter</t>
  </si>
  <si>
    <t>#</t>
  </si>
  <si>
    <t>Interest Rate</t>
  </si>
  <si>
    <t>Opening Balance</t>
  </si>
  <si>
    <t>Drawdown</t>
  </si>
  <si>
    <t>Interest Accrual</t>
  </si>
  <si>
    <t>Interest Repayment</t>
  </si>
  <si>
    <t xml:space="preserve">Principal Repayment </t>
  </si>
  <si>
    <t>Closing Balance</t>
  </si>
  <si>
    <t>Debt Workings</t>
  </si>
  <si>
    <t>Yrs</t>
  </si>
  <si>
    <t>%</t>
  </si>
  <si>
    <t>$</t>
  </si>
  <si>
    <t>Loan Term</t>
  </si>
  <si>
    <t>Discount Factor</t>
  </si>
  <si>
    <t>NPV</t>
  </si>
  <si>
    <t>Net Operating Cashflow</t>
  </si>
  <si>
    <t>Net Investment Cashflow</t>
  </si>
  <si>
    <t>Payments Remaining Counter</t>
  </si>
  <si>
    <t>Debt Summary</t>
  </si>
  <si>
    <t>Interest Repayments</t>
  </si>
  <si>
    <t>Total Debt Service</t>
  </si>
  <si>
    <t>End Sheet</t>
  </si>
  <si>
    <t>Ongoing Capital Expenditure</t>
  </si>
  <si>
    <t>Fees Payable</t>
  </si>
  <si>
    <t>Establishment Fee</t>
  </si>
  <si>
    <t>Business As Usual (BAU)</t>
  </si>
  <si>
    <t>Total Fees Payable</t>
  </si>
  <si>
    <t>Facility Balance</t>
  </si>
  <si>
    <t>Debt Assumptions</t>
  </si>
  <si>
    <t>Net Financing Cashflow</t>
  </si>
  <si>
    <t>Total Net Cashflow - BAU + Project</t>
  </si>
  <si>
    <t>Project Net Cashflow</t>
  </si>
  <si>
    <t>Project impact on BAU Cashflow</t>
  </si>
  <si>
    <t>Operating/Investment Cashflow - Project Only</t>
  </si>
  <si>
    <t>Cashflow Summary (Pre-tax)</t>
  </si>
  <si>
    <t>Principal Repayments</t>
  </si>
  <si>
    <t>Debt Closing Balance</t>
  </si>
  <si>
    <t>$/Qtr</t>
  </si>
  <si>
    <t>Initial Capex</t>
  </si>
  <si>
    <t>New Debt Net Cashflows</t>
  </si>
  <si>
    <t>Discounted Project cashflows</t>
  </si>
  <si>
    <t>Opening Cash Balance</t>
  </si>
  <si>
    <t>Closing Cash Balance</t>
  </si>
  <si>
    <t>Avg BAU Net Cashflow</t>
  </si>
  <si>
    <t>Grant Funding</t>
  </si>
  <si>
    <t>Operating Assumptions</t>
  </si>
  <si>
    <t>Useful Life</t>
  </si>
  <si>
    <t>Expected Net Savings/Op Cashflow</t>
  </si>
  <si>
    <t>Exclusive of terminal cashflows, and assuming all equity and grant funding applied in same period of first debt draw.</t>
  </si>
  <si>
    <t>Project CFADS</t>
  </si>
  <si>
    <t>Model Key</t>
  </si>
  <si>
    <t>Input</t>
  </si>
  <si>
    <t>Input Cell</t>
  </si>
  <si>
    <t>Calculation Cell</t>
  </si>
  <si>
    <t>Calc</t>
  </si>
  <si>
    <t>Key Output</t>
  </si>
  <si>
    <t>Output</t>
  </si>
  <si>
    <t>Disclaimer</t>
  </si>
  <si>
    <t>Purpose</t>
  </si>
  <si>
    <t>Limitations</t>
  </si>
  <si>
    <t>Macros in Use</t>
  </si>
  <si>
    <t>N/A</t>
  </si>
  <si>
    <t>The following assumptions have been made in the development of the model:</t>
  </si>
  <si>
    <t>- Ongoing Capital Expenditure occurs quartely over the  estimate useful life.</t>
  </si>
  <si>
    <t>Total Capital Expenditure</t>
  </si>
  <si>
    <t>- Establishment Fees are assumed to be paid upfront from Business As Usual cashflows</t>
  </si>
  <si>
    <t>- Committment Fees are assumed to be paid upfront from Business As Usual cashflows</t>
  </si>
  <si>
    <t>- Debt drawdowns commence from period 0, therefore the model assumes all  equity and grant funding applied in period 0.</t>
  </si>
  <si>
    <t>Debt Facility (Credit Foncier)</t>
  </si>
  <si>
    <t>Total Facility Size</t>
  </si>
  <si>
    <t>Project Assumptions</t>
  </si>
  <si>
    <t>Debt Output Summary</t>
  </si>
  <si>
    <t>Total</t>
  </si>
  <si>
    <t>Establishment Fees</t>
  </si>
  <si>
    <t>Max per Qtr</t>
  </si>
  <si>
    <t>Interest over Facility Tenor</t>
  </si>
  <si>
    <t>P&amp;I Payments</t>
  </si>
  <si>
    <t>Business As Usual Assumptions</t>
  </si>
  <si>
    <t>BAU Cashflow required for Debt Service (Above Project Cashflows)</t>
  </si>
  <si>
    <t>Sum</t>
  </si>
  <si>
    <t>Project Net Cashflow Impact</t>
  </si>
  <si>
    <t>Back to Summary</t>
  </si>
  <si>
    <t>- Maximum Debt Amount is determined as Total Construction Capital Expenditure less any Grant funding.</t>
  </si>
  <si>
    <t>Modelling Parameter</t>
  </si>
  <si>
    <t>Value or Assumption</t>
  </si>
  <si>
    <t>Notes</t>
  </si>
  <si>
    <t>GENERAL ENERGY-RELATED ASSUMPTIONS</t>
  </si>
  <si>
    <t>GHG-RELATED ASSUMPTIONS</t>
  </si>
  <si>
    <t>PE CELL &amp; SMART CONTROLS-RELATED ASSUMPTIONS</t>
  </si>
  <si>
    <t>Smart control annual cost per node</t>
  </si>
  <si>
    <t>MISCELLANEOUS ASSUMPTIONS</t>
  </si>
  <si>
    <t>Calculated</t>
  </si>
  <si>
    <t>Options</t>
  </si>
  <si>
    <t>NEMA-based smart controls only (and associated comms infrastructure capital costs)</t>
  </si>
  <si>
    <t>Zhaga-based smart controls only (and associated comms infrastructure capital costs)</t>
  </si>
  <si>
    <t>Standard high quality NEMA photocell</t>
  </si>
  <si>
    <t>Cost of basic NEMA photocell</t>
  </si>
  <si>
    <t>Lighting Assumptions</t>
  </si>
  <si>
    <t>All costs proportional to energy consumption including retail energy costs, network distribution costs, losses, environmental charges and market charges</t>
  </si>
  <si>
    <t>Total Energy Cost (c/kWh)</t>
  </si>
  <si>
    <t>Operating hours per year (hr/yr)</t>
  </si>
  <si>
    <t>Assumed operating hours per year based on sunset to sunrise times as per AEMO metrology procedures</t>
  </si>
  <si>
    <t>50W Mercury Vapour</t>
  </si>
  <si>
    <t>80W Mercury Vapour</t>
  </si>
  <si>
    <t>50W High Pressure Sodium</t>
  </si>
  <si>
    <t>70W High Pressure Sodium</t>
  </si>
  <si>
    <t>32W Compact Fluorescent</t>
  </si>
  <si>
    <t>42W Compact Fluorescent</t>
  </si>
  <si>
    <t>40W Fluorescent</t>
  </si>
  <si>
    <t>2*20W Fluorescent</t>
  </si>
  <si>
    <t>70W Metal Halide</t>
  </si>
  <si>
    <t>125W Mercury Vapour</t>
  </si>
  <si>
    <t>100W High Pressure Sodium</t>
  </si>
  <si>
    <t>100W Metal Halide</t>
  </si>
  <si>
    <t>250W Mercury Vapour</t>
  </si>
  <si>
    <t>150W High Pressure Sodium</t>
  </si>
  <si>
    <t>150W Metal Halide</t>
  </si>
  <si>
    <t>400W Mercury Vapour</t>
  </si>
  <si>
    <t>250W High Pressure Sodium</t>
  </si>
  <si>
    <t>250W Metal Halide</t>
  </si>
  <si>
    <t>400W High Pressure Sodium</t>
  </si>
  <si>
    <t>400W Metal Halide</t>
  </si>
  <si>
    <t>P4/P5 Residential Road Lighting</t>
  </si>
  <si>
    <t>P3 Residential Road Lighting</t>
  </si>
  <si>
    <t>V5 Main Road Lighting</t>
  </si>
  <si>
    <t>&lt;insert other lighting types as needed&gt;</t>
  </si>
  <si>
    <t>V3 Main Road Lighting</t>
  </si>
  <si>
    <t>V1 Main Road Lighting</t>
  </si>
  <si>
    <t>Common lighting types shown with users able to insert additional types as needed</t>
  </si>
  <si>
    <t>Users to insert actual numbers of each type of lighting and remove dummy data</t>
  </si>
  <si>
    <t xml:space="preserve">Default energy consumption taken from AEMO unmetered load tables.  Note minor differences in some jurisdictions.  For validation and to identify additional entries see: https://www.aemo.com.au/Electricity/National-Electricity-Market-NEM/Retail-and-metering/Metrology-Procedures-and-Unmetered-Loads </t>
  </si>
  <si>
    <t>TOTALS</t>
  </si>
  <si>
    <t>Current Luminaire Type</t>
  </si>
  <si>
    <t># of Current Luminaires to be Replaced</t>
  </si>
  <si>
    <r>
      <t xml:space="preserve">Current Luminaire Energy Consumption </t>
    </r>
    <r>
      <rPr>
        <sz val="11"/>
        <color theme="1"/>
        <rFont val="Calibri"/>
        <family val="2"/>
      </rPr>
      <t>(W)</t>
    </r>
  </si>
  <si>
    <r>
      <t>Current Luminaire Capital Tariff</t>
    </r>
    <r>
      <rPr>
        <sz val="11"/>
        <color theme="1"/>
        <rFont val="Calibri"/>
        <family val="2"/>
      </rPr>
      <t xml:space="preserve"> ($/yr) - If Applicable</t>
    </r>
  </si>
  <si>
    <t xml:space="preserve"> </t>
  </si>
  <si>
    <t># of New LED Luminaires to be Installed</t>
  </si>
  <si>
    <r>
      <t xml:space="preserve">Current Luminaire Total Cost  - ALL Luminaires </t>
    </r>
    <r>
      <rPr>
        <sz val="11"/>
        <color theme="1"/>
        <rFont val="Calibri"/>
        <family val="2"/>
      </rPr>
      <t>($/yr)</t>
    </r>
  </si>
  <si>
    <r>
      <t xml:space="preserve">Current Luminaire Energy Consumption - ALL Luminaires </t>
    </r>
    <r>
      <rPr>
        <sz val="11"/>
        <color theme="1"/>
        <rFont val="Calibri"/>
        <family val="2"/>
      </rPr>
      <t>(kWh/yr)</t>
    </r>
  </si>
  <si>
    <r>
      <t>Current Luminaire Residual Value</t>
    </r>
    <r>
      <rPr>
        <sz val="11"/>
        <color theme="1"/>
        <rFont val="Calibri"/>
        <family val="2"/>
      </rPr>
      <t xml:space="preserve"> ($/luminaire)</t>
    </r>
  </si>
  <si>
    <r>
      <t xml:space="preserve">Avoided Cost Credit on Replacement </t>
    </r>
    <r>
      <rPr>
        <sz val="11"/>
        <color theme="1"/>
        <rFont val="Calibri"/>
        <family val="2"/>
      </rPr>
      <t>($/luminaire)</t>
    </r>
  </si>
  <si>
    <r>
      <t>Current Luminaire Residual Value - ALL luminaires</t>
    </r>
    <r>
      <rPr>
        <sz val="11"/>
        <color theme="1"/>
        <rFont val="Calibri"/>
        <family val="2"/>
      </rPr>
      <t xml:space="preserve"> ($)</t>
    </r>
  </si>
  <si>
    <r>
      <t xml:space="preserve">Avoided Cost Credit on Replacement - ALL luminaires </t>
    </r>
    <r>
      <rPr>
        <sz val="11"/>
        <color theme="1"/>
        <rFont val="Calibri"/>
        <family val="2"/>
      </rPr>
      <t>($)</t>
    </r>
  </si>
  <si>
    <r>
      <t>New LED Luminaire Energy Consumption - ALL Luminaires</t>
    </r>
    <r>
      <rPr>
        <sz val="11"/>
        <color theme="1"/>
        <rFont val="Calibri"/>
        <family val="2"/>
      </rPr>
      <t xml:space="preserve"> (kWh/yr)</t>
    </r>
  </si>
  <si>
    <t>User will need to check current estimated luminaire capital costs noting that costs are highly volume and specification dependent</t>
  </si>
  <si>
    <r>
      <t xml:space="preserve">New LED Luminaire Energy Consumption </t>
    </r>
    <r>
      <rPr>
        <sz val="11"/>
        <color theme="1"/>
        <rFont val="Calibri"/>
        <family val="2"/>
      </rPr>
      <t>(W)</t>
    </r>
  </si>
  <si>
    <r>
      <t xml:space="preserve">Potential Environmental Certificate Value on Replacement </t>
    </r>
    <r>
      <rPr>
        <sz val="11"/>
        <color theme="1"/>
        <rFont val="Calibri"/>
        <family val="2"/>
      </rPr>
      <t>($)</t>
    </r>
  </si>
  <si>
    <t>Assumed operating hours per year for certificate scheme (hr/yr)</t>
  </si>
  <si>
    <t>Environmental certificate prices are highly volatile and estimated value inserted here should be net of estimated certificate creation costs of typically $3-$5 per certificate</t>
  </si>
  <si>
    <t>Certificate Conversion Factor (if applicable)</t>
  </si>
  <si>
    <t>Certificate Years of Credit</t>
  </si>
  <si>
    <t>Estimated Net Certificate Value ($/Certificate)</t>
  </si>
  <si>
    <t xml:space="preserve">May differ from actual operating hours and vary by jurisdiction.  Default set per NSW ESC and therefore requires jurisdiction-specific updating https://www.ess.nsw.gov.au/Methods_for_calculating_energy_savings/Public_Lighting_Method </t>
  </si>
  <si>
    <t>Residual values payable on legacy lighting</t>
  </si>
  <si>
    <t>Avoided cost credits</t>
  </si>
  <si>
    <t>Estimated funding from grants</t>
  </si>
  <si>
    <r>
      <t xml:space="preserve">New LED Luminaire Capital Cost </t>
    </r>
    <r>
      <rPr>
        <sz val="11"/>
        <color theme="1"/>
        <rFont val="Calibri"/>
        <family val="2"/>
      </rPr>
      <t>($)</t>
    </r>
  </si>
  <si>
    <r>
      <t xml:space="preserve">New LED Luminaire Installation Cost </t>
    </r>
    <r>
      <rPr>
        <sz val="11"/>
        <color theme="1"/>
        <rFont val="Calibri"/>
        <family val="2"/>
      </rPr>
      <t>($)</t>
    </r>
  </si>
  <si>
    <r>
      <t xml:space="preserve">New LED Luminaire Capital &amp; Installation Cost - ALL Luminaires </t>
    </r>
    <r>
      <rPr>
        <sz val="11"/>
        <color theme="1"/>
        <rFont val="Calibri"/>
        <family val="2"/>
      </rPr>
      <t>($)</t>
    </r>
  </si>
  <si>
    <t>Zhaga-based smart controls with an additional Zhaga interface</t>
  </si>
  <si>
    <t>NEMA-based smart controls with an additional Zhaga interface</t>
  </si>
  <si>
    <t>Estimated cost of NEMA-based smart controls and any associated comms infrastructure (if needed)</t>
  </si>
  <si>
    <t>Estimated cost of Zhaga Book 18-based smart controls and any associated comms infrastructure (if needed)</t>
  </si>
  <si>
    <t>Estimated cost of Zhaga Book 18-based power supply, smart controls and any associated comms infrastructure (if needed) with NEMA light point controller and additional Zhaga Book 18-based smart city device port</t>
  </si>
  <si>
    <t>Estimated cost of Zhaga Book 18-based power supply, smart controls and any associated comms infrastructure (if needed) with Zhaga Book 18-based light point controller and additional Zhaga Book 18-based smart city device port</t>
  </si>
  <si>
    <r>
      <t xml:space="preserve">New Controls Capital Cost </t>
    </r>
    <r>
      <rPr>
        <sz val="11"/>
        <color theme="1"/>
        <rFont val="Calibri"/>
        <family val="2"/>
      </rPr>
      <t>($)</t>
    </r>
  </si>
  <si>
    <t>User will need to consider whether to use standard photocell or range of smart controls options from pulldown list on 'Lighting Assumptions'</t>
  </si>
  <si>
    <t>Estimated environmental credit scheme value</t>
  </si>
  <si>
    <t>Project Capital Cost Summary</t>
  </si>
  <si>
    <t>Energy costs ($/yr)</t>
  </si>
  <si>
    <t>Net Benefit (%)</t>
  </si>
  <si>
    <t>Net Benefit ($/yr)</t>
  </si>
  <si>
    <t>New LED Lighting ($/yr)</t>
  </si>
  <si>
    <t>Project Operational Cost Summary</t>
  </si>
  <si>
    <t>Project Environmental Summary</t>
  </si>
  <si>
    <r>
      <t xml:space="preserve">Current Luminaire Energy Cost </t>
    </r>
    <r>
      <rPr>
        <sz val="11"/>
        <color theme="1"/>
        <rFont val="Calibri"/>
        <family val="2"/>
      </rPr>
      <t>($/yr/luminaire)</t>
    </r>
  </si>
  <si>
    <r>
      <t xml:space="preserve">Current Luminaire Energy Cost - ALL luminaires </t>
    </r>
    <r>
      <rPr>
        <sz val="11"/>
        <color theme="1"/>
        <rFont val="Calibri"/>
        <family val="2"/>
      </rPr>
      <t>($/yr)</t>
    </r>
  </si>
  <si>
    <r>
      <t>Current Luminaire Maintenance Tariff</t>
    </r>
    <r>
      <rPr>
        <sz val="11"/>
        <color theme="1"/>
        <rFont val="Calibri"/>
        <family val="2"/>
      </rPr>
      <t xml:space="preserve"> ($/yr/luminaire)</t>
    </r>
  </si>
  <si>
    <r>
      <t>Current Luminaire Maintenance Tariff</t>
    </r>
    <r>
      <rPr>
        <sz val="11"/>
        <color theme="1"/>
        <rFont val="Calibri"/>
        <family val="2"/>
      </rPr>
      <t xml:space="preserve"> </t>
    </r>
    <r>
      <rPr>
        <b/>
        <sz val="11"/>
        <color theme="1"/>
        <rFont val="Calibri"/>
        <family val="2"/>
      </rPr>
      <t xml:space="preserve">- ALL luminaires </t>
    </r>
    <r>
      <rPr>
        <sz val="11"/>
        <color theme="1"/>
        <rFont val="Calibri"/>
        <family val="2"/>
      </rPr>
      <t>($/yr)</t>
    </r>
  </si>
  <si>
    <r>
      <t>Current Luminaire Capital Tariff</t>
    </r>
    <r>
      <rPr>
        <sz val="11"/>
        <color theme="1"/>
        <rFont val="Calibri"/>
        <family val="2"/>
      </rPr>
      <t xml:space="preserve"> </t>
    </r>
    <r>
      <rPr>
        <b/>
        <sz val="11"/>
        <color theme="1"/>
        <rFont val="Calibri"/>
        <family val="2"/>
      </rPr>
      <t xml:space="preserve">- ALL luminaires </t>
    </r>
    <r>
      <rPr>
        <sz val="11"/>
        <color theme="1"/>
        <rFont val="Calibri"/>
        <family val="2"/>
      </rPr>
      <t>($/yr) - If Applicable</t>
    </r>
  </si>
  <si>
    <r>
      <t xml:space="preserve">New LED Luminaire Energy Cost </t>
    </r>
    <r>
      <rPr>
        <sz val="11"/>
        <color theme="1"/>
        <rFont val="Calibri"/>
        <family val="2"/>
      </rPr>
      <t>($/yr/luminaire)</t>
    </r>
  </si>
  <si>
    <r>
      <t xml:space="preserve">New LED Luminaire Energy Cost - ALL luminaires </t>
    </r>
    <r>
      <rPr>
        <sz val="11"/>
        <color theme="1"/>
        <rFont val="Calibri"/>
        <family val="2"/>
      </rPr>
      <t>($/yr)</t>
    </r>
  </si>
  <si>
    <r>
      <t xml:space="preserve">New LED Luminaire Maintenance Tariff </t>
    </r>
    <r>
      <rPr>
        <sz val="11"/>
        <color theme="1"/>
        <rFont val="Calibri"/>
        <family val="2"/>
      </rPr>
      <t>($/yr/luminaire)</t>
    </r>
  </si>
  <si>
    <r>
      <t>New LED Luminaire Maintenance Tariff</t>
    </r>
    <r>
      <rPr>
        <sz val="11"/>
        <color theme="1"/>
        <rFont val="Calibri"/>
        <family val="2"/>
      </rPr>
      <t xml:space="preserve"> </t>
    </r>
    <r>
      <rPr>
        <b/>
        <sz val="11"/>
        <color theme="1"/>
        <rFont val="Calibri"/>
        <family val="2"/>
      </rPr>
      <t xml:space="preserve">- ALL luminaires </t>
    </r>
    <r>
      <rPr>
        <sz val="11"/>
        <color theme="1"/>
        <rFont val="Calibri"/>
        <family val="2"/>
      </rPr>
      <t>($/yr)</t>
    </r>
  </si>
  <si>
    <t>Energy Consumption (kWh/yr)</t>
  </si>
  <si>
    <r>
      <t>New LED Luminaire Total Operational Costs</t>
    </r>
    <r>
      <rPr>
        <sz val="11"/>
        <color theme="1"/>
        <rFont val="Calibri"/>
        <family val="2"/>
      </rPr>
      <t xml:space="preserve"> - </t>
    </r>
    <r>
      <rPr>
        <b/>
        <sz val="11"/>
        <color theme="1"/>
        <rFont val="Calibri"/>
        <family val="2"/>
      </rPr>
      <t>ALL Luminaires</t>
    </r>
    <r>
      <rPr>
        <sz val="11"/>
        <color theme="1"/>
        <rFont val="Calibri"/>
        <family val="2"/>
      </rPr>
      <t xml:space="preserve"> ($/yr for Energy &amp; Maintenance Only)</t>
    </r>
  </si>
  <si>
    <t>New LED Lighting</t>
  </si>
  <si>
    <t>Net Benefit</t>
  </si>
  <si>
    <t>Capital cost of LEDs, smart controls (if applicable) and installation</t>
  </si>
  <si>
    <t>Project Management &amp; Contingencies</t>
  </si>
  <si>
    <t>Project management cost and contingency ($/light)</t>
  </si>
  <si>
    <t>Smart Controls &amp; Comms Infrastructure Capital Cost (PULLDOWN TABLE)</t>
  </si>
  <si>
    <t>Lighting Calculations</t>
  </si>
  <si>
    <t>Based on  Electricity Emission Factors for End Users (See Table 41 Full Fuel Cycle EF Scope 2 + Scope 3) https://www.environment.gov.au/system/files/resources/5a169bfb-f417-4b00-9b70-6ba328ea8671/files/national-greenhouse-accounts-factors-july-2017.pdf</t>
  </si>
  <si>
    <t>NSW</t>
  </si>
  <si>
    <t>VIC</t>
  </si>
  <si>
    <t>QLD</t>
  </si>
  <si>
    <t>SA</t>
  </si>
  <si>
    <t>WA (SWIS)</t>
  </si>
  <si>
    <t>TAS</t>
  </si>
  <si>
    <t>NT</t>
  </si>
  <si>
    <t>ACT</t>
  </si>
  <si>
    <t>End Use Emissions Intensity (PULLDOWN TABLE)</t>
  </si>
  <si>
    <t>t CO2-e/MWh</t>
  </si>
  <si>
    <t>Cost per luminaire of controls - SEE PULLDOWN LIST</t>
  </si>
  <si>
    <t>End Use Emissions Intensity - SEE PULLDOWN LIST</t>
  </si>
  <si>
    <t>Total Operational Cost ($/yr)</t>
  </si>
  <si>
    <t>Maintenance (&amp; Capital Tariffs if applicable) ($/yr)</t>
  </si>
  <si>
    <t>Greenhouse Gas Emissions (t CO2-e/yr)</t>
  </si>
  <si>
    <t>Energy Cost (c/kWh)</t>
  </si>
  <si>
    <t>Smart Controls Included?</t>
  </si>
  <si>
    <t>Other Lighting</t>
  </si>
  <si>
    <t>Key Project Assumptions</t>
  </si>
  <si>
    <t>Location</t>
  </si>
  <si>
    <t xml:space="preserve">Varies by jurisdiction.  Default set per NSW ESC and therefore requires jurisdiction-specific updating https://www.ess.nsw.gov.au/Methods_for_calculating_energy_savings/Public_Lighting_Method </t>
  </si>
  <si>
    <t xml:space="preserve">Varies by jurisdiction.  Default set per NSW ESC and therefore required jurisdiction-specific updating https://www.ess.nsw.gov.au/Methods_for_calculating_energy_savings/Public_Lighting_Method </t>
  </si>
  <si>
    <t>Current Luminaires (BAU Scenario)</t>
  </si>
  <si>
    <t>New LED Luminaires (Upgrade Scenario)</t>
  </si>
  <si>
    <t>Upgrade-Related Items</t>
  </si>
  <si>
    <t>Internal Project Discount Rate</t>
  </si>
  <si>
    <t>Debt Servicing Deficit (Project)</t>
  </si>
  <si>
    <t>Max Annual</t>
  </si>
  <si>
    <t>Total Grant Funding</t>
  </si>
  <si>
    <t>Project Capital Cost</t>
  </si>
  <si>
    <t>Net cash outflow from project</t>
  </si>
  <si>
    <t>Cost/(saving)</t>
  </si>
  <si>
    <t>Cost item</t>
  </si>
  <si>
    <t>Assumed Interest Rate on Borrowings</t>
  </si>
  <si>
    <t>NPV of project cashflows</t>
  </si>
  <si>
    <t>Net cash saving/(outflow) p.a</t>
  </si>
  <si>
    <t>Payback period in years</t>
  </si>
  <si>
    <t>Emissions abated (t CO2-e/yr)</t>
  </si>
  <si>
    <t>f</t>
  </si>
  <si>
    <t>Net cash saving/(outflow) p.a if debt funded</t>
  </si>
  <si>
    <t>Project term (years)</t>
  </si>
  <si>
    <t>Estimated annual repayment</t>
  </si>
  <si>
    <t>Debt term (years)</t>
  </si>
  <si>
    <t>Debt Financing Summary</t>
  </si>
  <si>
    <t>Key Project Outputs</t>
  </si>
  <si>
    <t>Timeframe over which the annual cash savings of the Project can repay the Project Capital Cost</t>
  </si>
  <si>
    <t>Net Project Capital Cost to Council</t>
  </si>
  <si>
    <t>Estimated annual repayment of debt financing</t>
  </si>
  <si>
    <t>Lighting Outputs</t>
  </si>
  <si>
    <t>Existing Lighting ($/yr)</t>
  </si>
  <si>
    <t>Existing Lighting</t>
  </si>
  <si>
    <t>Financial Summary</t>
  </si>
  <si>
    <t>Operating and Debt Cashflow Summary</t>
  </si>
  <si>
    <t>Debt Closing Balance: The closing balance of debt facilities</t>
  </si>
  <si>
    <t>Annual Debt Service: Annual debt servicing including principal and interest</t>
  </si>
  <si>
    <t>Annual Operating Cost Saving: Annual operating cost saving before debt servicing</t>
  </si>
  <si>
    <t>Cashflow Impact</t>
  </si>
  <si>
    <t>How To Use Guide</t>
  </si>
  <si>
    <t>- Expected Net Savings/Operating cashflows occurs quartely over the estimate useful life.</t>
  </si>
  <si>
    <t>To demonstrate debt servicing cashflows for street lighting projects based on limited assumptions</t>
  </si>
  <si>
    <t>ENVIRONMENTAL CERTIFICATE-RELATED ASSUMPTIONS</t>
  </si>
  <si>
    <t>1) Under 'Lighting Assumptions' Cell C6, set the total energy price for the year of project implementation including all costs proportional to energy consumption (eg retail energy costs, network distribution costs, losses, environmental charges and market charges). To refine estimate, give consideration to any above-CPI changes that are forecast (eg step changes in retail electricity pricing and/or network distribution charges).</t>
  </si>
  <si>
    <t>2) Under 'Lighting Assumptions' Cells C9-C12, set the paramaters for environmental certificates as applicable to your jurisdiction noting that the assumed operating hours, years of eligibility and conversion factors vary.  Also note that environmental certificate prices are highly volatile and the estimated value per certificate should be net of estimated certificate creation costs which are typically $3-$5 per certificate.</t>
  </si>
  <si>
    <t>3) Under 'Lighting Assumptions' Cell C14, set the jurisdiction to ensure accurate calculation of GHG. Figures are based on  Electricity Emission Factors for End Users (See Table 41 Full Fuel Cycle EF Scope 2 + Scope 3) https://www.environment.gov.au/system/files/resources/5a169bfb-f417-4b00-9b70-6ba328ea8671/files/national-greenhouse-accounts-factors-july-2017.pdf.  Users may wish to check the currency of this document.</t>
  </si>
  <si>
    <t>4) Under 'Lighting Assumptions' Cells C16-17, users can set the capital and variable cost of the assumed form of street lighting control.  A table in rows 24 -29 offers a variety of options from a basic photocell (eg no smart controls) to a range of smart controls options.  All costs shown are the estimated cost per lighting point (incl associated comms infrastructure).  Note that costs are included in the model but NO benefits are included due to current regulatory uncertainty.  Benefits and estimated cost savings of smart controls should be discussed with your service provider.</t>
  </si>
  <si>
    <t>Note that on-going software licencing and connection costs of smart controls vary widely and consultation with suppliers is needed based on project needs; Cost should be set to $0 if a basic photocell is used.</t>
  </si>
  <si>
    <t>Photocell or smart controls cost per lighting point (incl associated comms infrastructure).  Note that costs are included in the model but NO benefits are included due to current regulatory uncertainty.  Benefits and estimated cost savings of smart controls should be discussed with your service provider.</t>
  </si>
  <si>
    <t>5) Under 'Lighting Assumptions' Cell C19, on a per light basis, set an estimated project management cost and contingency for unforeseen project costs including additional consulting costs on lighting, smart controls and communications technical and commercial matters</t>
  </si>
  <si>
    <t>On a per light basis, set an estimated project management cost and contingency for unforeseen project costs including additional consulting costs on lighting, smart controls and communications technical and commercial matters</t>
  </si>
  <si>
    <t>Road Lighting Sub-Category</t>
  </si>
  <si>
    <r>
      <t>Lighting Sub-Category</t>
    </r>
    <r>
      <rPr>
        <sz val="11"/>
        <color theme="1"/>
        <rFont val="Calibri"/>
        <family val="2"/>
      </rPr>
      <t xml:space="preserve"> (As per AS/NZS 1158)</t>
    </r>
  </si>
  <si>
    <t>Road lighting subcategorisation is indicative only and varies in practice</t>
  </si>
  <si>
    <t>6) Under 'Lighting Calcs' Column E, insert the total number of each existing lighting type.  If there is no default entry for any lighting type that you have, insert additional lighting types in rows 32-37 noting that the energy consumption of additional lighting types will need to be added in Column F from the AEMO Unmetered Load Table for energy consumption (see https://www.aemo.com.au/Electricity/National-Electricity-Market-NEM/Retail-and-metering/Metrology-Procedures-and-Unmetered-Loads )</t>
  </si>
  <si>
    <t>7)  Under 'Lighting Calcs' Column F, insert the total annual maintenance tariff for each lighting type. You will need to check the current published utility tariffs as these are specific to each utility and change yearly.  If luminaire maintenance and capital costs are quoted as one annual tariff by your utility, insert the tariff in Column F and set capital tariffs in Column L to $0.</t>
  </si>
  <si>
    <t>User will need to check the current published utility tariffs as these are specific to each utility and change yearly.  If luminaire maintenance and capital costs are quoted as one annual tariff by your utility, insert the tariff in Column F and set capital tariffs in Column L to $0.</t>
  </si>
  <si>
    <t>User will need to check current published utility tariffs as these are specific to each utility and change yearly. If luminaire maintenance and capital costs are quoted as one annual tariff by your utility, insert the tariff in Column F and set capital tariffs in Column L to $0.</t>
  </si>
  <si>
    <t>Although the information in this publication is believed to be correct at the time of publishing, the Institute of Public Works Engineering Australasia (IPWEA), and its agents, contractors, directors, employees, subcontractors and officers, do not accept any contractual, tortious or other form of liability (including in negligence) arising from the information contained herein, to the extent permitted by law. The information included in this publication is intended as a general guide only, and is not tailored to your needs and circumstances. People using the information contained herein should apply, and rely upon, their own skills and judgement to the particular lighting installations they are considering, and, seek appropriate professional lighting design, engineering and financial advice as needed. This document is not a substitute for specialist, professional advice.</t>
  </si>
  <si>
    <t>Residual values may or may not apply.  These are utility-specific and can vary by customer, tariff type, lighting type, asset age and road type or be a fixed amount for all lighting within a given region.  The utility should be consulted on the applicable residual values claimed.  Note that residual values generally change yearly.</t>
  </si>
  <si>
    <t>An avoided bulk lamp replacement cost credit may may or may not be offered by each utility. The utility should be consulted on any available credit.  Note that any available credit generally changes yearly.</t>
  </si>
  <si>
    <t>8) Under 'Lighting Calcs' Column P, residual values may or may not apply and can be inserted here.  These are utility-specific and can vary by customer, tariff type, lighting type, asset age and road type or be a fixed amount for all lighting within a given region.  The utility should be consulted on the applicable residual values claimed.  Note that residual values generally change yearly.</t>
  </si>
  <si>
    <t>Reduction in energy usage</t>
  </si>
  <si>
    <t>Reduction in energy usage compared to before the street lighting upgrades</t>
  </si>
  <si>
    <t>Net Present Value of the Project cash flows using your organisation's Internal Project Discount Rate</t>
  </si>
  <si>
    <t>Project Net Cashflow: The cumulative cash balance for your organisation after debt servicing</t>
  </si>
  <si>
    <t>In this worksheet, update yellow cells for your organisation's financing assumptions</t>
  </si>
  <si>
    <t>Outputs for inclusion in business case paper are summarised in the Financing Outputs and Lighting Outputs</t>
  </si>
  <si>
    <t>9) Under 'Lighting Calcs' Column R, an avoided bulk lamp replacement cost credit may may or may not be offered by each utility and can be inserted here. The utility should be consulted on any available credit. Note that any available credit generally changes yearly.</t>
  </si>
  <si>
    <t xml:space="preserve">10) Under 'Lighting Calcs' Column V, data in this column only requires modification if the assumed number of LED replacements is NOT equal to the number of lights to be replaced (eg not a one-for-one replacement).  This may be the case where additional infill lighting is needed. In this case, users to insert actual numbers of each type of replacement LED lighting. </t>
  </si>
  <si>
    <t xml:space="preserve">Data in this column only requires modification if the assumed number of LED replacements is NOT equal to the number of lights to be replaced (eg not a one-for-one replacement).  This may be the case where additional infill lighting is needed. In this case, users to insert actual numbers of each type of replacement LED lighting. </t>
  </si>
  <si>
    <t>11) Under 'Lighting Calcs' Column W, data in this column only requires modification if the assumed energy consumption of any sub-category of LEDs differs from the default given.  Alternative energy consumption figures for replacement LEDs can be obtained from AEMO Unmetered Load Table for many lighting types (see https://www.aemo.com.au/Electricity/National-Electricity-Market-NEM/Retail-and-metering/Metrology-Procedures-and-Unmetered-Loads ).  If new lighting types are not listed by AEMO, consumption can be obtained from luminaire suppliers but that AEMO listing may be a mandatory requirement for acceptance of new lighting types by utilities.</t>
  </si>
  <si>
    <t>Default energy consumption taken from AEMO unmetered load tables. Data in this column only requires modification if the assumed energy consumption of any sub-category of LEDs differs from the default given.  Alternative energy consumption figures for replacement LEDs can be obtained from AEMO Unmetered Load Table for many lighting types (see https://www.aemo.com.au/Electricity/National-Electricity-Market-NEM/Retail-and-metering/Metrology-Procedures-and-Unmetered-Loads ).  If new lighting types are not listed by AEMO, consumption can be obtained from luminaire suppliers but that AEMO listing may be a mandatory requirement for acceptance of new lighting types by utilities.</t>
  </si>
  <si>
    <t>User will need to check the current published utility tariffs for replacement LEDs as these are specific to each utility and change yearly.</t>
  </si>
  <si>
    <t>12) Under 'Lighting Calcs' Column AA, indicative data is provided but the user will need to check the current published utility tariffs for replacement LEDs as these are specific to each utility and change yearly.</t>
  </si>
  <si>
    <t>13) Under 'Lighting Calcs' Column AD, indicative data is provided but the user will need to check current estimated luminaire capital costs noting that costs are highly volume and specification dependent</t>
  </si>
  <si>
    <t>14) Under 'Lighting Calcs' Column AE, data is provided from the selection made on the 'Lighting Assumptions' page but this can be overridden if, for example, smart controls are only to be deployed on some lighting subcategories</t>
  </si>
  <si>
    <t>15) Under 'Lighting Calcs' Column AF, indicative installation cost data is provided but the user will need to check with their utility or likely installer about estimated luminaire installations costs noting that costs are highly volume dependent</t>
  </si>
  <si>
    <t>User will need to check with their utility or likely installer about estimated luminaire installations costs noting that costs are highly volume dependent</t>
  </si>
  <si>
    <t>16) Under 'CashFlow' Cell E8, insert amount of any prospective grant funding</t>
  </si>
  <si>
    <t>18) Under 'CashFlow' Cell E11, insert estimated loan establishment fees.  The default is 0.25% as a reasonable indicative figure.  Consult your finance team or likely finance provider to validate.</t>
  </si>
  <si>
    <t>19) Under 'CashFlow' Cell E12, insert the indicative interest rate.  The default is 4.25% for a 10-year fixed rate financing which is for illustrative purposes only and will need to be updated by the user in consultation with their finance team or likely finance provider to validate.</t>
  </si>
  <si>
    <t>20) Under 'CashFlow' Cell E15, insert the indicative useful life.  The default is 20 years as reasonably reflective of the predicted life of many luminaires from leading manufacturers and consistent with estimated life in AS/NZS 1158</t>
  </si>
  <si>
    <t>21) Under 'CashFlow' Cell E21, insert the internal project discount rate used by your organisation.  The default is 6% for illustrative purposes only.  Also note that, as a result of the cost base being in real terms, the user may need to adjust the calculation of the discount rate for escalation to align both cost and debt forecasts. In all cases, the internal project discount rate assumed in the model should be determined in accordance with internal policies and return benchmarks.</t>
  </si>
  <si>
    <t>- Terminal cashflows are not included in NPV calculation</t>
  </si>
  <si>
    <t>- The financial model does not assume any price escalation for costs. That is, the costs are entered as “year 1” costs and remain unchanged for the total modelling period. While these costs will fluctuate year on year, this is a simplified modelling assumption and flagged for the author’s awareness when using the financial model.</t>
  </si>
  <si>
    <t>17) Under 'CashFlow' Cell E10, insert desired loan term.  The default is a 10 year term, however, the user will need to confirm the debt term available from their finance providers</t>
  </si>
  <si>
    <t>Model Business Case for Street Lighting and Smart Controls Upgrades - Project Assessment Summary - Model Information &amp; How To Guide</t>
  </si>
  <si>
    <t xml:space="preserve">Complete all input fields in the following steps with consideration of the limitations of the model which are detailed in the next section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</si>
</sst>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
    <numFmt numFmtId="168" formatCode="_-&quot;$&quot;* #,##0_-;\-&quot;$&quot;* #,##0_-;_-&quot;$&quot;* &quot;-&quot;??_-;_-@_-"/>
    <numFmt numFmtId="169" formatCode="&quot;$&quot;#,##0;&quot;$&quot;\(#,##0\);\-"/>
    <numFmt numFmtId="170" formatCode="&quot;$&quot;#,##0.000"/>
    <numFmt numFmtId="171" formatCode="&quot;$&quot;#,##0.00"/>
    <numFmt numFmtId="172" formatCode="&quot;$&quot;#,##0"/>
    <numFmt numFmtId="173" formatCode="0.0%"/>
  </numFmts>
  <fonts count="3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i/>
      <sz val="11"/>
      <color rgb="FF7F7F7F"/>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0070C0"/>
      <name val="Calibri"/>
      <family val="2"/>
      <scheme val="minor"/>
    </font>
    <font>
      <sz val="8"/>
      <color theme="1"/>
      <name val="Calibri"/>
      <family val="2"/>
      <scheme val="minor"/>
    </font>
    <font>
      <sz val="8"/>
      <color theme="0" tint="-0.499984740745262"/>
      <name val="Calibri"/>
      <family val="2"/>
      <scheme val="minor"/>
    </font>
    <font>
      <i/>
      <sz val="8"/>
      <color theme="0" tint="-0.499984740745262"/>
      <name val="Calibri"/>
      <family val="2"/>
      <scheme val="minor"/>
    </font>
    <font>
      <b/>
      <i/>
      <sz val="8"/>
      <color theme="0" tint="-0.499984740745262"/>
      <name val="Calibri"/>
      <family val="2"/>
      <scheme val="minor"/>
    </font>
    <font>
      <b/>
      <sz val="8"/>
      <color theme="0" tint="-0.499984740745262"/>
      <name val="Calibri"/>
      <family val="2"/>
      <scheme val="minor"/>
    </font>
    <font>
      <b/>
      <sz val="8"/>
      <color theme="1"/>
      <name val="Calibri"/>
      <family val="2"/>
      <scheme val="minor"/>
    </font>
    <font>
      <i/>
      <sz val="11"/>
      <color theme="0" tint="-0.499984740745262"/>
      <name val="Calibri"/>
      <family val="2"/>
      <scheme val="minor"/>
    </font>
    <font>
      <b/>
      <u/>
      <sz val="11"/>
      <color theme="1"/>
      <name val="Calibri"/>
      <family val="2"/>
      <scheme val="minor"/>
    </font>
    <font>
      <i/>
      <sz val="11"/>
      <name val="Calibri"/>
      <family val="2"/>
      <scheme val="minor"/>
    </font>
    <font>
      <i/>
      <sz val="8"/>
      <color rgb="FF7F7F7F"/>
      <name val="Calibri"/>
      <family val="2"/>
      <scheme val="minor"/>
    </font>
    <font>
      <u/>
      <sz val="11"/>
      <color theme="10"/>
      <name val="Calibri"/>
      <family val="2"/>
      <scheme val="minor"/>
    </font>
    <font>
      <b/>
      <sz val="12"/>
      <color theme="0"/>
      <name val="Calibri"/>
      <family val="2"/>
      <scheme val="minor"/>
    </font>
    <font>
      <sz val="9"/>
      <color indexed="81"/>
      <name val="Tahoma"/>
      <family val="2"/>
    </font>
    <font>
      <b/>
      <sz val="9"/>
      <color indexed="81"/>
      <name val="Tahoma"/>
      <family val="2"/>
    </font>
    <font>
      <sz val="11"/>
      <color theme="1"/>
      <name val="Calibri"/>
      <family val="2"/>
    </font>
    <font>
      <b/>
      <sz val="11"/>
      <color theme="1"/>
      <name val="Calibri"/>
      <family val="2"/>
    </font>
    <font>
      <sz val="11"/>
      <color rgb="FF00B0F0"/>
      <name val="Calibri"/>
      <family val="2"/>
      <scheme val="minor"/>
    </font>
    <font>
      <b/>
      <sz val="11"/>
      <color rgb="FF00B0F0"/>
      <name val="Calibri"/>
      <family val="2"/>
      <scheme val="minor"/>
    </font>
    <font>
      <sz val="9"/>
      <color rgb="FFFF0000"/>
      <name val="Calibri"/>
      <family val="2"/>
      <scheme val="minor"/>
    </font>
    <font>
      <sz val="11"/>
      <color rgb="FFFF0000"/>
      <name val="Calibri"/>
      <family val="2"/>
      <scheme val="minor"/>
    </font>
    <font>
      <b/>
      <sz val="18"/>
      <color theme="4" tint="-0.499984740745262"/>
      <name val="Calibri"/>
      <family val="2"/>
      <scheme val="minor"/>
    </font>
    <font>
      <b/>
      <sz val="22"/>
      <color theme="4" tint="-0.499984740745262"/>
      <name val="Calibri"/>
      <family val="2"/>
      <scheme val="minor"/>
    </font>
    <font>
      <sz val="18"/>
      <color theme="4" tint="-0.499984740745262"/>
      <name val="Calibri"/>
      <family val="2"/>
      <scheme val="minor"/>
    </font>
    <font>
      <sz val="11"/>
      <color theme="0"/>
      <name val="Calibri"/>
      <family val="2"/>
      <scheme val="minor"/>
    </font>
    <font>
      <b/>
      <sz val="11"/>
      <color theme="4" tint="-0.499984740745262"/>
      <name val="Calibri"/>
      <family val="2"/>
      <scheme val="minor"/>
    </font>
    <font>
      <b/>
      <sz val="16"/>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37">
    <border>
      <left/>
      <right/>
      <top/>
      <bottom/>
      <diagonal/>
    </border>
    <border>
      <left/>
      <right/>
      <top/>
      <bottom style="thin">
        <color rgb="FF0070C0"/>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8"/>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3" fillId="2" borderId="1" xfId="0" applyFont="1" applyFill="1" applyBorder="1"/>
    <xf numFmtId="0" fontId="3" fillId="2" borderId="1" xfId="0" applyFont="1" applyFill="1" applyBorder="1" applyAlignment="1">
      <alignment horizontal="center"/>
    </xf>
    <xf numFmtId="0" fontId="3" fillId="0" borderId="0" xfId="0" applyFont="1"/>
    <xf numFmtId="0" fontId="0" fillId="0" borderId="0" xfId="0" applyFont="1"/>
    <xf numFmtId="0" fontId="0" fillId="0" borderId="0" xfId="0" applyFont="1" applyAlignment="1">
      <alignment horizontal="center"/>
    </xf>
    <xf numFmtId="166" fontId="3" fillId="0" borderId="0" xfId="0" applyNumberFormat="1" applyFont="1"/>
    <xf numFmtId="166" fontId="0" fillId="0" borderId="0" xfId="0" applyNumberFormat="1" applyFill="1"/>
    <xf numFmtId="0" fontId="0" fillId="0" borderId="0" xfId="0" applyAlignment="1">
      <alignment vertical="center"/>
    </xf>
    <xf numFmtId="0" fontId="9" fillId="0" borderId="0" xfId="0" applyFont="1"/>
    <xf numFmtId="0" fontId="10" fillId="0" borderId="0" xfId="0" applyFont="1"/>
    <xf numFmtId="0" fontId="11" fillId="0" borderId="0" xfId="3" applyFont="1" applyAlignment="1">
      <alignment horizontal="center"/>
    </xf>
    <xf numFmtId="0" fontId="12" fillId="2" borderId="1" xfId="3" applyFont="1" applyFill="1" applyBorder="1" applyAlignment="1">
      <alignment horizontal="center"/>
    </xf>
    <xf numFmtId="0" fontId="10" fillId="0" borderId="0" xfId="0" applyFont="1" applyAlignment="1">
      <alignment horizontal="center"/>
    </xf>
    <xf numFmtId="0" fontId="10" fillId="0" borderId="0" xfId="0" applyFont="1" applyAlignment="1">
      <alignment horizontal="center" vertical="center"/>
    </xf>
    <xf numFmtId="0" fontId="12" fillId="0" borderId="0" xfId="3" applyFont="1" applyAlignment="1">
      <alignment horizontal="center"/>
    </xf>
    <xf numFmtId="0" fontId="13" fillId="0" borderId="0" xfId="0" applyFont="1" applyAlignment="1">
      <alignment horizontal="center"/>
    </xf>
    <xf numFmtId="166" fontId="11" fillId="0" borderId="0" xfId="0" applyNumberFormat="1" applyFont="1" applyBorder="1"/>
    <xf numFmtId="0" fontId="3" fillId="2" borderId="0" xfId="0" applyFont="1" applyFill="1"/>
    <xf numFmtId="0" fontId="2" fillId="0" borderId="0" xfId="3"/>
    <xf numFmtId="0" fontId="4" fillId="0" borderId="0" xfId="3" applyFont="1"/>
    <xf numFmtId="0" fontId="0" fillId="0" borderId="0" xfId="0" applyFont="1" applyAlignment="1">
      <alignment horizontal="left" indent="1"/>
    </xf>
    <xf numFmtId="166" fontId="5" fillId="0" borderId="0" xfId="0" applyNumberFormat="1" applyFont="1"/>
    <xf numFmtId="166" fontId="0" fillId="0" borderId="0" xfId="0" applyNumberFormat="1" applyFont="1"/>
    <xf numFmtId="0" fontId="14" fillId="0" borderId="0" xfId="0" applyFont="1"/>
    <xf numFmtId="166" fontId="5" fillId="0" borderId="0" xfId="0" applyNumberFormat="1" applyFont="1" applyFill="1" applyAlignment="1">
      <alignment vertical="center"/>
    </xf>
    <xf numFmtId="166" fontId="3" fillId="0" borderId="0" xfId="0" applyNumberFormat="1" applyFont="1" applyBorder="1"/>
    <xf numFmtId="166" fontId="6" fillId="0" borderId="0" xfId="0" applyNumberFormat="1" applyFont="1" applyFill="1" applyAlignment="1">
      <alignment vertical="center"/>
    </xf>
    <xf numFmtId="0" fontId="7" fillId="0" borderId="0" xfId="0" applyFont="1" applyAlignment="1">
      <alignment horizontal="left" indent="1"/>
    </xf>
    <xf numFmtId="166" fontId="17" fillId="0" borderId="0" xfId="0" applyNumberFormat="1" applyFont="1" applyFill="1" applyAlignment="1">
      <alignment vertical="center"/>
    </xf>
    <xf numFmtId="0" fontId="0" fillId="2" borderId="0" xfId="0" applyFill="1"/>
    <xf numFmtId="0" fontId="10" fillId="2" borderId="0" xfId="0" applyFont="1" applyFill="1" applyAlignment="1">
      <alignment horizontal="center"/>
    </xf>
    <xf numFmtId="43" fontId="0" fillId="0" borderId="0" xfId="1" applyFont="1"/>
    <xf numFmtId="0" fontId="13" fillId="2" borderId="0" xfId="0" applyFont="1" applyFill="1" applyBorder="1" applyAlignment="1">
      <alignment horizontal="center"/>
    </xf>
    <xf numFmtId="166" fontId="6" fillId="2" borderId="0" xfId="0" applyNumberFormat="1" applyFont="1" applyFill="1" applyBorder="1" applyAlignment="1">
      <alignment vertical="center"/>
    </xf>
    <xf numFmtId="0" fontId="0" fillId="2" borderId="0" xfId="0" applyFont="1" applyFill="1"/>
    <xf numFmtId="166" fontId="12" fillId="0" borderId="0" xfId="0" applyNumberFormat="1" applyFont="1" applyBorder="1"/>
    <xf numFmtId="0" fontId="0" fillId="0" borderId="0" xfId="0" applyBorder="1"/>
    <xf numFmtId="0" fontId="10" fillId="0" borderId="0" xfId="0" applyFont="1" applyBorder="1" applyAlignment="1">
      <alignment horizontal="center"/>
    </xf>
    <xf numFmtId="0" fontId="10" fillId="0" borderId="5" xfId="0" applyFont="1" applyBorder="1" applyAlignment="1">
      <alignment horizontal="center"/>
    </xf>
    <xf numFmtId="0" fontId="3" fillId="2" borderId="6" xfId="0" applyFont="1" applyFill="1" applyBorder="1"/>
    <xf numFmtId="0" fontId="17" fillId="0" borderId="0" xfId="0" applyFont="1" applyAlignment="1">
      <alignment horizontal="left" indent="1"/>
    </xf>
    <xf numFmtId="166" fontId="5" fillId="0" borderId="0" xfId="0" applyNumberFormat="1" applyFont="1" applyFill="1" applyBorder="1" applyAlignment="1">
      <alignment vertical="center"/>
    </xf>
    <xf numFmtId="0" fontId="3" fillId="2" borderId="7" xfId="0" applyFont="1" applyFill="1" applyBorder="1"/>
    <xf numFmtId="0" fontId="10" fillId="2" borderId="2" xfId="0" applyFont="1" applyFill="1" applyBorder="1" applyAlignment="1">
      <alignment horizontal="center"/>
    </xf>
    <xf numFmtId="166" fontId="5" fillId="0" borderId="2" xfId="0" applyNumberFormat="1" applyFont="1" applyFill="1" applyBorder="1" applyAlignment="1">
      <alignment vertical="center"/>
    </xf>
    <xf numFmtId="0" fontId="0" fillId="2" borderId="4" xfId="0" applyFont="1" applyFill="1" applyBorder="1"/>
    <xf numFmtId="0" fontId="10" fillId="2" borderId="5" xfId="0" applyFont="1" applyFill="1" applyBorder="1" applyAlignment="1">
      <alignment horizontal="center"/>
    </xf>
    <xf numFmtId="166" fontId="5" fillId="2" borderId="5" xfId="0" applyNumberFormat="1" applyFont="1" applyFill="1" applyBorder="1" applyAlignment="1">
      <alignment vertical="center"/>
    </xf>
    <xf numFmtId="0" fontId="0" fillId="2" borderId="7" xfId="0" applyFont="1" applyFill="1" applyBorder="1"/>
    <xf numFmtId="166" fontId="5" fillId="2" borderId="2" xfId="0" applyNumberFormat="1" applyFont="1" applyFill="1" applyBorder="1" applyAlignment="1">
      <alignment vertical="center"/>
    </xf>
    <xf numFmtId="0" fontId="0" fillId="2" borderId="6" xfId="0" applyFont="1" applyFill="1" applyBorder="1"/>
    <xf numFmtId="0" fontId="10" fillId="2" borderId="0" xfId="0" applyFont="1" applyFill="1" applyBorder="1" applyAlignment="1">
      <alignment horizontal="right"/>
    </xf>
    <xf numFmtId="166" fontId="5" fillId="2" borderId="0" xfId="0" applyNumberFormat="1" applyFont="1" applyFill="1" applyBorder="1" applyAlignment="1">
      <alignment vertical="center"/>
    </xf>
    <xf numFmtId="0" fontId="10" fillId="2" borderId="2" xfId="0" applyFont="1" applyFill="1" applyBorder="1" applyAlignment="1">
      <alignment horizontal="right"/>
    </xf>
    <xf numFmtId="0" fontId="10" fillId="2" borderId="5" xfId="0" applyFont="1" applyFill="1" applyBorder="1" applyAlignment="1">
      <alignment horizontal="right"/>
    </xf>
    <xf numFmtId="166" fontId="15" fillId="2" borderId="5" xfId="0" applyNumberFormat="1" applyFont="1" applyFill="1" applyBorder="1"/>
    <xf numFmtId="0" fontId="5" fillId="0" borderId="0" xfId="0" applyFont="1"/>
    <xf numFmtId="0" fontId="0" fillId="0" borderId="0" xfId="0" applyFill="1" applyBorder="1"/>
    <xf numFmtId="0" fontId="11" fillId="0" borderId="0" xfId="3" applyFont="1" applyBorder="1" applyAlignment="1">
      <alignment horizontal="center"/>
    </xf>
    <xf numFmtId="0" fontId="4" fillId="2" borderId="2" xfId="3" applyFont="1" applyFill="1" applyBorder="1" applyAlignment="1">
      <alignment horizontal="center"/>
    </xf>
    <xf numFmtId="8" fontId="3" fillId="2" borderId="3" xfId="1" applyNumberFormat="1" applyFont="1" applyFill="1" applyBorder="1" applyAlignment="1">
      <alignment horizontal="center"/>
    </xf>
    <xf numFmtId="165" fontId="10" fillId="2" borderId="0" xfId="0" applyNumberFormat="1" applyFont="1" applyFill="1" applyBorder="1" applyAlignment="1">
      <alignment horizontal="center"/>
    </xf>
    <xf numFmtId="166" fontId="11" fillId="2" borderId="2" xfId="0" applyNumberFormat="1" applyFont="1" applyFill="1" applyBorder="1"/>
    <xf numFmtId="0" fontId="8" fillId="3" borderId="0" xfId="0" applyFont="1" applyFill="1" applyBorder="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applyAlignment="1">
      <alignment horizontal="center"/>
    </xf>
    <xf numFmtId="0" fontId="0" fillId="0" borderId="13" xfId="0" applyBorder="1"/>
    <xf numFmtId="0" fontId="0" fillId="0" borderId="14" xfId="0" applyBorder="1"/>
    <xf numFmtId="0" fontId="0" fillId="0" borderId="15" xfId="0" applyBorder="1"/>
    <xf numFmtId="0" fontId="16" fillId="0" borderId="9" xfId="0" applyFont="1" applyBorder="1"/>
    <xf numFmtId="0" fontId="0" fillId="0" borderId="0" xfId="0" applyFont="1" applyBorder="1"/>
    <xf numFmtId="0" fontId="0" fillId="0" borderId="0" xfId="0" quotePrefix="1" applyFont="1" applyBorder="1"/>
    <xf numFmtId="0" fontId="0" fillId="0" borderId="0" xfId="0" quotePrefix="1" applyBorder="1"/>
    <xf numFmtId="0" fontId="3" fillId="2" borderId="25" xfId="0" applyFont="1" applyFill="1" applyBorder="1"/>
    <xf numFmtId="0" fontId="3" fillId="2" borderId="26" xfId="0" applyFont="1" applyFill="1" applyBorder="1"/>
    <xf numFmtId="0" fontId="3" fillId="2" borderId="27" xfId="0" applyFont="1" applyFill="1" applyBorder="1"/>
    <xf numFmtId="167" fontId="8" fillId="3" borderId="12" xfId="0" applyNumberFormat="1" applyFont="1" applyFill="1" applyBorder="1"/>
    <xf numFmtId="0" fontId="0" fillId="0" borderId="13" xfId="0" applyFill="1" applyBorder="1"/>
    <xf numFmtId="0" fontId="10" fillId="0" borderId="14" xfId="0" applyFont="1" applyBorder="1" applyAlignment="1">
      <alignment horizontal="center"/>
    </xf>
    <xf numFmtId="167" fontId="8" fillId="3" borderId="15" xfId="0" applyNumberFormat="1" applyFont="1" applyFill="1" applyBorder="1"/>
    <xf numFmtId="43" fontId="8" fillId="3" borderId="12" xfId="1" applyNumberFormat="1" applyFont="1" applyFill="1" applyBorder="1" applyAlignment="1"/>
    <xf numFmtId="0" fontId="0" fillId="0" borderId="28" xfId="0" applyBorder="1"/>
    <xf numFmtId="0" fontId="0" fillId="0" borderId="17" xfId="0" applyBorder="1"/>
    <xf numFmtId="0" fontId="0" fillId="0" borderId="19" xfId="0" applyBorder="1"/>
    <xf numFmtId="0" fontId="0" fillId="0" borderId="20" xfId="0" applyBorder="1"/>
    <xf numFmtId="0" fontId="3" fillId="2" borderId="30" xfId="0" applyFont="1" applyFill="1" applyBorder="1"/>
    <xf numFmtId="0" fontId="3" fillId="2" borderId="31" xfId="0" applyFont="1" applyFill="1" applyBorder="1"/>
    <xf numFmtId="0" fontId="3" fillId="2" borderId="32" xfId="0" applyFont="1" applyFill="1" applyBorder="1"/>
    <xf numFmtId="169" fontId="0" fillId="0" borderId="0" xfId="0" applyNumberFormat="1" applyBorder="1"/>
    <xf numFmtId="169" fontId="0" fillId="0" borderId="18" xfId="0" applyNumberFormat="1" applyBorder="1"/>
    <xf numFmtId="169" fontId="0" fillId="0" borderId="21" xfId="0" applyNumberFormat="1" applyBorder="1"/>
    <xf numFmtId="0" fontId="3" fillId="0" borderId="0" xfId="0" applyFont="1" applyBorder="1" applyAlignment="1">
      <alignment horizontal="right"/>
    </xf>
    <xf numFmtId="0" fontId="3" fillId="0" borderId="18" xfId="0" applyFont="1" applyBorder="1" applyAlignment="1">
      <alignment horizontal="right"/>
    </xf>
    <xf numFmtId="169" fontId="3" fillId="2" borderId="31" xfId="0" applyNumberFormat="1" applyFont="1" applyFill="1" applyBorder="1"/>
    <xf numFmtId="169" fontId="3" fillId="2" borderId="32" xfId="0" applyNumberFormat="1" applyFont="1" applyFill="1" applyBorder="1"/>
    <xf numFmtId="0" fontId="0" fillId="0" borderId="23" xfId="0" applyBorder="1"/>
    <xf numFmtId="0" fontId="10" fillId="0" borderId="22" xfId="0" applyFont="1" applyBorder="1" applyAlignment="1">
      <alignment horizontal="center"/>
    </xf>
    <xf numFmtId="0" fontId="0" fillId="0" borderId="22" xfId="0" applyBorder="1"/>
    <xf numFmtId="169" fontId="0" fillId="0" borderId="24" xfId="0" applyNumberFormat="1" applyBorder="1"/>
    <xf numFmtId="0" fontId="0" fillId="0" borderId="18" xfId="0" applyBorder="1"/>
    <xf numFmtId="0" fontId="3" fillId="2" borderId="8" xfId="0" applyFont="1" applyFill="1" applyBorder="1"/>
    <xf numFmtId="0" fontId="3" fillId="2" borderId="9" xfId="0" applyFont="1" applyFill="1" applyBorder="1"/>
    <xf numFmtId="0" fontId="3" fillId="2" borderId="10" xfId="0" applyFont="1" applyFill="1" applyBorder="1"/>
    <xf numFmtId="167" fontId="8" fillId="3" borderId="29" xfId="0" applyNumberFormat="1" applyFont="1" applyFill="1" applyBorder="1"/>
    <xf numFmtId="0" fontId="3" fillId="0" borderId="0" xfId="0" applyFont="1" applyBorder="1" applyAlignment="1">
      <alignment vertical="center" wrapText="1"/>
    </xf>
    <xf numFmtId="0" fontId="0" fillId="0" borderId="33" xfId="0" applyBorder="1"/>
    <xf numFmtId="169" fontId="0" fillId="0" borderId="14" xfId="0" applyNumberFormat="1" applyBorder="1"/>
    <xf numFmtId="169" fontId="0" fillId="0" borderId="34" xfId="0" applyNumberFormat="1" applyBorder="1"/>
    <xf numFmtId="0" fontId="0" fillId="0" borderId="17" xfId="0" applyFont="1" applyBorder="1" applyAlignment="1">
      <alignment vertical="center"/>
    </xf>
    <xf numFmtId="167" fontId="0" fillId="0" borderId="0" xfId="0" applyNumberFormat="1" applyFont="1" applyBorder="1" applyAlignment="1">
      <alignment vertical="center" wrapText="1"/>
    </xf>
    <xf numFmtId="167" fontId="0" fillId="0" borderId="18" xfId="0" applyNumberFormat="1" applyFont="1" applyBorder="1" applyAlignment="1">
      <alignment vertical="center" wrapText="1"/>
    </xf>
    <xf numFmtId="0" fontId="18" fillId="0" borderId="0" xfId="3" applyFont="1" applyAlignment="1">
      <alignment horizontal="center"/>
    </xf>
    <xf numFmtId="0" fontId="18" fillId="2" borderId="1" xfId="3" applyFont="1" applyFill="1" applyBorder="1" applyAlignment="1">
      <alignment horizontal="center"/>
    </xf>
    <xf numFmtId="0" fontId="0" fillId="0" borderId="24" xfId="0" applyBorder="1"/>
    <xf numFmtId="0" fontId="19" fillId="0" borderId="0" xfId="5"/>
    <xf numFmtId="0" fontId="20" fillId="4" borderId="35" xfId="0" applyFont="1" applyFill="1" applyBorder="1"/>
    <xf numFmtId="0" fontId="20" fillId="4" borderId="35" xfId="0" applyFont="1" applyFill="1" applyBorder="1" applyAlignment="1">
      <alignment horizontal="center"/>
    </xf>
    <xf numFmtId="0" fontId="3" fillId="5" borderId="35" xfId="0" applyFont="1" applyFill="1" applyBorder="1" applyAlignment="1">
      <alignment wrapText="1"/>
    </xf>
    <xf numFmtId="0" fontId="0" fillId="5" borderId="35" xfId="0" applyFont="1" applyFill="1" applyBorder="1" applyAlignment="1">
      <alignment horizontal="center"/>
    </xf>
    <xf numFmtId="0" fontId="0" fillId="5" borderId="35" xfId="0" applyFont="1" applyFill="1" applyBorder="1"/>
    <xf numFmtId="0" fontId="0" fillId="0" borderId="35" xfId="0" applyFont="1" applyFill="1" applyBorder="1" applyAlignment="1">
      <alignment wrapText="1"/>
    </xf>
    <xf numFmtId="0" fontId="0" fillId="0" borderId="35" xfId="0" applyFont="1" applyFill="1" applyBorder="1"/>
    <xf numFmtId="0" fontId="1" fillId="0" borderId="35" xfId="0" applyFont="1" applyFill="1" applyBorder="1" applyAlignment="1">
      <alignment horizontal="center"/>
    </xf>
    <xf numFmtId="0" fontId="0" fillId="0" borderId="35" xfId="0" applyBorder="1"/>
    <xf numFmtId="0" fontId="0" fillId="5" borderId="35" xfId="0" applyFill="1" applyBorder="1"/>
    <xf numFmtId="0" fontId="3" fillId="0" borderId="35" xfId="0" applyFont="1" applyBorder="1"/>
    <xf numFmtId="0" fontId="27" fillId="0" borderId="0" xfId="0" applyFont="1"/>
    <xf numFmtId="0" fontId="6" fillId="0" borderId="0" xfId="0" applyFont="1"/>
    <xf numFmtId="0" fontId="24" fillId="0" borderId="35" xfId="0" applyFont="1" applyBorder="1" applyAlignment="1">
      <alignment vertical="center" wrapText="1"/>
    </xf>
    <xf numFmtId="0" fontId="27" fillId="0" borderId="35" xfId="0" applyFont="1" applyBorder="1"/>
    <xf numFmtId="172" fontId="0" fillId="0" borderId="35" xfId="0" applyNumberFormat="1" applyBorder="1"/>
    <xf numFmtId="0" fontId="6" fillId="0" borderId="35" xfId="0" applyFont="1" applyBorder="1"/>
    <xf numFmtId="172" fontId="6" fillId="0" borderId="35" xfId="0" applyNumberFormat="1" applyFont="1" applyBorder="1"/>
    <xf numFmtId="6" fontId="0" fillId="0" borderId="35" xfId="0" applyNumberFormat="1" applyBorder="1"/>
    <xf numFmtId="6" fontId="25" fillId="0" borderId="35" xfId="0" applyNumberFormat="1" applyFont="1" applyBorder="1"/>
    <xf numFmtId="172" fontId="3" fillId="0" borderId="35" xfId="0" applyNumberFormat="1" applyFont="1" applyBorder="1"/>
    <xf numFmtId="0" fontId="24" fillId="5" borderId="35" xfId="0" applyFont="1" applyFill="1" applyBorder="1" applyAlignment="1">
      <alignment vertical="center" wrapText="1"/>
    </xf>
    <xf numFmtId="0" fontId="27" fillId="5" borderId="35" xfId="0" applyFont="1" applyFill="1" applyBorder="1"/>
    <xf numFmtId="0" fontId="6" fillId="5" borderId="35" xfId="0" applyFont="1" applyFill="1" applyBorder="1"/>
    <xf numFmtId="6" fontId="5" fillId="0" borderId="35" xfId="0" applyNumberFormat="1" applyFont="1" applyBorder="1"/>
    <xf numFmtId="0" fontId="0" fillId="0" borderId="0" xfId="0" applyFill="1"/>
    <xf numFmtId="0" fontId="0" fillId="0" borderId="35" xfId="0" applyFill="1" applyBorder="1"/>
    <xf numFmtId="0" fontId="5" fillId="0" borderId="35" xfId="0" applyFont="1" applyFill="1" applyBorder="1"/>
    <xf numFmtId="0" fontId="0" fillId="0" borderId="0" xfId="0" applyFill="1" applyAlignment="1">
      <alignment horizontal="center"/>
    </xf>
    <xf numFmtId="0" fontId="3" fillId="5" borderId="35" xfId="0" applyFont="1" applyFill="1" applyBorder="1"/>
    <xf numFmtId="0" fontId="3" fillId="5" borderId="35" xfId="0" applyFont="1" applyFill="1" applyBorder="1" applyAlignment="1">
      <alignment horizontal="center"/>
    </xf>
    <xf numFmtId="6" fontId="0" fillId="5" borderId="35" xfId="0" applyNumberFormat="1" applyFill="1" applyBorder="1" applyAlignment="1">
      <alignment horizontal="center"/>
    </xf>
    <xf numFmtId="0" fontId="3" fillId="6" borderId="35" xfId="0" applyFont="1" applyFill="1" applyBorder="1" applyAlignment="1">
      <alignment vertical="center" wrapText="1"/>
    </xf>
    <xf numFmtId="0" fontId="25" fillId="3" borderId="35" xfId="0" applyFont="1" applyFill="1" applyBorder="1"/>
    <xf numFmtId="0" fontId="26" fillId="3" borderId="35" xfId="0" applyFont="1" applyFill="1" applyBorder="1"/>
    <xf numFmtId="6" fontId="25" fillId="3" borderId="35" xfId="0" applyNumberFormat="1" applyFont="1" applyFill="1" applyBorder="1"/>
    <xf numFmtId="170" fontId="25" fillId="3" borderId="35" xfId="0" applyNumberFormat="1" applyFont="1" applyFill="1" applyBorder="1" applyAlignment="1">
      <alignment horizontal="center"/>
    </xf>
    <xf numFmtId="0" fontId="25" fillId="3" borderId="35" xfId="0" applyFont="1" applyFill="1" applyBorder="1" applyAlignment="1">
      <alignment horizontal="center"/>
    </xf>
    <xf numFmtId="2" fontId="25" fillId="3" borderId="35" xfId="0" applyNumberFormat="1" applyFont="1" applyFill="1" applyBorder="1" applyAlignment="1">
      <alignment horizontal="center"/>
    </xf>
    <xf numFmtId="171" fontId="25" fillId="3" borderId="35" xfId="0" applyNumberFormat="1" applyFont="1" applyFill="1" applyBorder="1" applyAlignment="1">
      <alignment horizontal="center"/>
    </xf>
    <xf numFmtId="6" fontId="0" fillId="0" borderId="0" xfId="0" applyNumberFormat="1" applyFill="1" applyBorder="1" applyAlignment="1">
      <alignment horizontal="center"/>
    </xf>
    <xf numFmtId="0" fontId="0" fillId="5" borderId="35" xfId="0" applyFill="1" applyBorder="1" applyAlignment="1">
      <alignment horizontal="center"/>
    </xf>
    <xf numFmtId="172" fontId="3" fillId="6" borderId="35" xfId="0" applyNumberFormat="1" applyFont="1" applyFill="1" applyBorder="1" applyAlignment="1">
      <alignment vertical="center"/>
    </xf>
    <xf numFmtId="171" fontId="0" fillId="0" borderId="0" xfId="0" applyNumberFormat="1" applyFill="1" applyAlignment="1">
      <alignment horizontal="center"/>
    </xf>
    <xf numFmtId="172" fontId="25" fillId="3" borderId="35" xfId="0" applyNumberFormat="1" applyFont="1" applyFill="1" applyBorder="1" applyAlignment="1">
      <alignment horizontal="center"/>
    </xf>
    <xf numFmtId="0" fontId="30" fillId="0" borderId="0" xfId="0" applyFont="1"/>
    <xf numFmtId="0" fontId="31" fillId="0" borderId="0" xfId="0" applyFont="1"/>
    <xf numFmtId="0" fontId="31" fillId="6" borderId="35" xfId="0" applyFont="1" applyFill="1" applyBorder="1"/>
    <xf numFmtId="1" fontId="8" fillId="3" borderId="12" xfId="0" applyNumberFormat="1" applyFont="1" applyFill="1" applyBorder="1"/>
    <xf numFmtId="173" fontId="8" fillId="3" borderId="15" xfId="2" applyNumberFormat="1" applyFont="1" applyFill="1" applyBorder="1"/>
    <xf numFmtId="10" fontId="8" fillId="3" borderId="12" xfId="2" applyNumberFormat="1" applyFont="1" applyFill="1" applyBorder="1" applyAlignment="1"/>
    <xf numFmtId="10" fontId="8" fillId="3" borderId="15" xfId="2" applyNumberFormat="1" applyFont="1" applyFill="1" applyBorder="1" applyAlignment="1"/>
    <xf numFmtId="167" fontId="0" fillId="10" borderId="12" xfId="0" applyNumberFormat="1" applyFont="1" applyFill="1" applyBorder="1"/>
    <xf numFmtId="167" fontId="0" fillId="10" borderId="15" xfId="0" applyNumberFormat="1" applyFont="1" applyFill="1" applyBorder="1"/>
    <xf numFmtId="172" fontId="5" fillId="10" borderId="35" xfId="0" applyNumberFormat="1" applyFont="1" applyFill="1" applyBorder="1" applyAlignment="1">
      <alignment horizontal="center" vertical="center" wrapText="1"/>
    </xf>
    <xf numFmtId="0" fontId="0" fillId="10" borderId="35" xfId="0" applyFont="1" applyFill="1" applyBorder="1" applyAlignment="1">
      <alignment horizontal="left" vertical="center" wrapText="1"/>
    </xf>
    <xf numFmtId="0" fontId="0" fillId="10" borderId="35" xfId="0" applyFont="1" applyFill="1" applyBorder="1" applyAlignment="1">
      <alignment vertical="center" wrapText="1"/>
    </xf>
    <xf numFmtId="172" fontId="5" fillId="10" borderId="35" xfId="0" applyNumberFormat="1" applyFont="1" applyFill="1" applyBorder="1" applyAlignment="1">
      <alignment vertical="center" wrapText="1"/>
    </xf>
    <xf numFmtId="0" fontId="3" fillId="5" borderId="35" xfId="0" applyFont="1" applyFill="1" applyBorder="1" applyAlignment="1">
      <alignment vertical="center"/>
    </xf>
    <xf numFmtId="3" fontId="5" fillId="10" borderId="35" xfId="1" applyNumberFormat="1" applyFont="1" applyFill="1" applyBorder="1" applyAlignment="1">
      <alignment horizontal="center" vertical="center" wrapText="1"/>
    </xf>
    <xf numFmtId="10" fontId="0" fillId="10" borderId="35" xfId="0" applyNumberFormat="1" applyFont="1" applyFill="1" applyBorder="1" applyAlignment="1">
      <alignment horizontal="right" vertical="center"/>
    </xf>
    <xf numFmtId="2" fontId="0" fillId="10" borderId="35" xfId="0" applyNumberFormat="1" applyFont="1" applyFill="1" applyBorder="1" applyAlignment="1">
      <alignment horizontal="right" vertical="center"/>
    </xf>
    <xf numFmtId="164" fontId="0" fillId="0" borderId="35" xfId="1" applyNumberFormat="1" applyFont="1" applyBorder="1"/>
    <xf numFmtId="164" fontId="6" fillId="0" borderId="35" xfId="1" applyNumberFormat="1" applyFont="1" applyBorder="1"/>
    <xf numFmtId="164" fontId="0" fillId="10" borderId="35" xfId="0" applyNumberFormat="1" applyFont="1" applyFill="1" applyBorder="1" applyAlignment="1">
      <alignment horizontal="right" vertical="center"/>
    </xf>
    <xf numFmtId="0" fontId="0" fillId="10" borderId="35" xfId="0" applyFont="1" applyFill="1" applyBorder="1" applyAlignment="1">
      <alignment horizontal="right" vertical="center"/>
    </xf>
    <xf numFmtId="171" fontId="0" fillId="10" borderId="35" xfId="0" applyNumberFormat="1" applyFont="1" applyFill="1" applyBorder="1" applyAlignment="1">
      <alignment horizontal="right" vertical="center"/>
    </xf>
    <xf numFmtId="1" fontId="0" fillId="10" borderId="35" xfId="0" applyNumberFormat="1" applyFont="1" applyFill="1" applyBorder="1" applyAlignment="1">
      <alignment horizontal="right" vertical="center"/>
    </xf>
    <xf numFmtId="0" fontId="0" fillId="10" borderId="0" xfId="0" applyFont="1" applyFill="1" applyBorder="1" applyAlignment="1">
      <alignment horizontal="left" vertical="center" wrapText="1"/>
    </xf>
    <xf numFmtId="0" fontId="0" fillId="10" borderId="0" xfId="0" applyFill="1"/>
    <xf numFmtId="0" fontId="3" fillId="10" borderId="0" xfId="0" applyFont="1" applyFill="1"/>
    <xf numFmtId="0" fontId="0" fillId="10" borderId="0" xfId="0" applyFont="1" applyFill="1"/>
    <xf numFmtId="0" fontId="28" fillId="10" borderId="0" xfId="0" applyFont="1" applyFill="1"/>
    <xf numFmtId="0" fontId="29" fillId="10" borderId="0" xfId="0" applyFont="1" applyFill="1" applyAlignment="1">
      <alignment vertical="center"/>
    </xf>
    <xf numFmtId="0" fontId="7" fillId="10" borderId="0" xfId="0" applyFont="1" applyFill="1"/>
    <xf numFmtId="0" fontId="0" fillId="10" borderId="0" xfId="0" applyFill="1" applyAlignment="1">
      <alignment vertical="center"/>
    </xf>
    <xf numFmtId="0" fontId="0" fillId="10" borderId="0" xfId="0" applyFill="1" applyBorder="1" applyAlignment="1">
      <alignment vertical="center"/>
    </xf>
    <xf numFmtId="0" fontId="3" fillId="10" borderId="35" xfId="0" applyFont="1" applyFill="1" applyBorder="1" applyAlignment="1">
      <alignment horizontal="left" vertical="center" wrapText="1"/>
    </xf>
    <xf numFmtId="172" fontId="6" fillId="10" borderId="35" xfId="0" applyNumberFormat="1" applyFont="1" applyFill="1" applyBorder="1" applyAlignment="1">
      <alignment horizontal="center" vertical="center" wrapText="1"/>
    </xf>
    <xf numFmtId="0" fontId="26" fillId="10" borderId="0" xfId="0" applyFont="1" applyFill="1" applyBorder="1" applyAlignment="1">
      <alignment horizontal="center" vertical="center" wrapText="1"/>
    </xf>
    <xf numFmtId="173" fontId="0" fillId="10" borderId="35" xfId="2" applyNumberFormat="1" applyFont="1" applyFill="1" applyBorder="1" applyAlignment="1">
      <alignment horizontal="right" vertical="center"/>
    </xf>
    <xf numFmtId="1" fontId="32" fillId="10" borderId="0" xfId="0" applyNumberFormat="1" applyFont="1" applyFill="1"/>
    <xf numFmtId="0" fontId="3" fillId="11" borderId="35"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0" fillId="10" borderId="0" xfId="0" applyFont="1" applyFill="1" applyAlignment="1">
      <alignment vertical="center"/>
    </xf>
    <xf numFmtId="0" fontId="33" fillId="10" borderId="0" xfId="0" applyFont="1" applyFill="1" applyAlignment="1">
      <alignment vertical="center"/>
    </xf>
    <xf numFmtId="0" fontId="0" fillId="10" borderId="0" xfId="0" applyFont="1" applyFill="1" applyBorder="1" applyAlignment="1">
      <alignment vertical="center"/>
    </xf>
    <xf numFmtId="0" fontId="0" fillId="11" borderId="35" xfId="0" applyFont="1" applyFill="1" applyBorder="1" applyAlignment="1">
      <alignment horizontal="center" vertical="center" wrapText="1"/>
    </xf>
    <xf numFmtId="0" fontId="0" fillId="7" borderId="35" xfId="0" applyFont="1" applyFill="1" applyBorder="1" applyAlignment="1">
      <alignment horizontal="center" vertical="center" wrapText="1"/>
    </xf>
    <xf numFmtId="173" fontId="0" fillId="10" borderId="35" xfId="0" applyNumberFormat="1" applyFont="1" applyFill="1" applyBorder="1" applyAlignment="1">
      <alignment vertical="center"/>
    </xf>
    <xf numFmtId="0" fontId="3" fillId="6" borderId="35" xfId="0" applyFont="1" applyFill="1" applyBorder="1" applyAlignment="1">
      <alignment horizontal="center" vertical="center" wrapText="1"/>
    </xf>
    <xf numFmtId="0" fontId="30" fillId="2" borderId="36" xfId="0" applyFont="1" applyFill="1" applyBorder="1"/>
    <xf numFmtId="0" fontId="0" fillId="2" borderId="0" xfId="0" applyFill="1" applyBorder="1"/>
    <xf numFmtId="0" fontId="0" fillId="2" borderId="36" xfId="0" applyFill="1" applyBorder="1"/>
    <xf numFmtId="0" fontId="3" fillId="0" borderId="0" xfId="0" applyFont="1" applyFill="1" applyBorder="1"/>
    <xf numFmtId="0" fontId="0" fillId="0" borderId="0" xfId="0" applyFont="1" applyFill="1"/>
    <xf numFmtId="0" fontId="0" fillId="0" borderId="0" xfId="0" applyAlignment="1">
      <alignment wrapText="1"/>
    </xf>
    <xf numFmtId="0" fontId="16" fillId="0" borderId="31" xfId="0" applyFont="1" applyFill="1" applyBorder="1"/>
    <xf numFmtId="0" fontId="0" fillId="0" borderId="31" xfId="0" applyFill="1" applyBorder="1"/>
    <xf numFmtId="0" fontId="0" fillId="0" borderId="32" xfId="0" applyFill="1" applyBorder="1"/>
    <xf numFmtId="0" fontId="0" fillId="0" borderId="8" xfId="0" applyFill="1" applyBorder="1"/>
    <xf numFmtId="0" fontId="16" fillId="0" borderId="9" xfId="0" applyFont="1"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4" xfId="0" applyFill="1" applyBorder="1"/>
    <xf numFmtId="0" fontId="0" fillId="0" borderId="15" xfId="0" applyFill="1" applyBorder="1"/>
    <xf numFmtId="0" fontId="0" fillId="0" borderId="0" xfId="0" quotePrefix="1" applyFill="1" applyBorder="1"/>
    <xf numFmtId="168" fontId="0" fillId="2" borderId="16" xfId="4" applyNumberFormat="1" applyFont="1" applyFill="1" applyBorder="1" applyAlignment="1">
      <alignment horizontal="center"/>
    </xf>
    <xf numFmtId="0" fontId="0" fillId="0" borderId="11" xfId="0" applyFill="1" applyBorder="1" applyAlignment="1">
      <alignment wrapText="1"/>
    </xf>
    <xf numFmtId="0" fontId="0" fillId="0" borderId="0" xfId="0" applyFill="1" applyBorder="1" applyAlignment="1">
      <alignment vertical="center"/>
    </xf>
    <xf numFmtId="0" fontId="34" fillId="0" borderId="30" xfId="0" applyFont="1" applyFill="1" applyBorder="1" applyAlignment="1">
      <alignment vertical="center"/>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14" xfId="0" quotePrefix="1" applyFill="1" applyBorder="1" applyAlignment="1">
      <alignment horizontal="left" vertical="top" wrapText="1"/>
    </xf>
    <xf numFmtId="0" fontId="0" fillId="0" borderId="15" xfId="0" quotePrefix="1" applyFill="1" applyBorder="1" applyAlignment="1">
      <alignment horizontal="left" vertical="top" wrapText="1"/>
    </xf>
    <xf numFmtId="0" fontId="0" fillId="0" borderId="0" xfId="0" applyFill="1" applyAlignment="1">
      <alignment horizontal="left" vertical="top" wrapText="1"/>
    </xf>
    <xf numFmtId="0" fontId="31" fillId="8" borderId="35" xfId="0" applyFont="1" applyFill="1" applyBorder="1" applyAlignment="1">
      <alignment horizontal="center"/>
    </xf>
    <xf numFmtId="0" fontId="31" fillId="7" borderId="35" xfId="0" applyFont="1" applyFill="1" applyBorder="1" applyAlignment="1">
      <alignment horizontal="center"/>
    </xf>
    <xf numFmtId="0" fontId="31" fillId="9" borderId="35" xfId="0" applyFont="1" applyFill="1" applyBorder="1" applyAlignment="1">
      <alignment horizontal="center"/>
    </xf>
  </cellXfs>
  <cellStyles count="6">
    <cellStyle name="Comma" xfId="1" builtinId="3"/>
    <cellStyle name="Currency" xfId="4" builtinId="4"/>
    <cellStyle name="Explanatory Text" xfId="3" builtinId="53"/>
    <cellStyle name="Hyperlink" xfId="5" builtinId="8"/>
    <cellStyle name="Normal" xfId="0" builtinId="0"/>
    <cellStyle name="Percent" xfId="2" builtinId="5"/>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Summary of Project Cashflows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1"/>
          <c:tx>
            <c:v>Project Net Cashflow</c:v>
          </c:tx>
          <c:spPr>
            <a:solidFill>
              <a:schemeClr val="accent1"/>
            </a:solidFill>
            <a:ln>
              <a:noFill/>
            </a:ln>
            <a:effectLst/>
          </c:spPr>
          <c:val>
            <c:numRef>
              <c:f>CashFlow!$F$68:$P$68</c:f>
              <c:numCache>
                <c:formatCode>#,##0.00;\(#,##0.00\);\-</c:formatCode>
                <c:ptCount val="11"/>
                <c:pt idx="0">
                  <c:v>-2741.5955050000921</c:v>
                </c:pt>
                <c:pt idx="1">
                  <c:v>136909.02423247424</c:v>
                </c:pt>
                <c:pt idx="2">
                  <c:v>276559.64396994858</c:v>
                </c:pt>
                <c:pt idx="3">
                  <c:v>416210.26370742294</c:v>
                </c:pt>
                <c:pt idx="4">
                  <c:v>555860.88344489725</c:v>
                </c:pt>
                <c:pt idx="5">
                  <c:v>695511.50318237161</c:v>
                </c:pt>
                <c:pt idx="6">
                  <c:v>835162.12291984598</c:v>
                </c:pt>
                <c:pt idx="7">
                  <c:v>974812.74265732034</c:v>
                </c:pt>
                <c:pt idx="8">
                  <c:v>1114463.3623947946</c:v>
                </c:pt>
                <c:pt idx="9">
                  <c:v>1254113.9821322688</c:v>
                </c:pt>
                <c:pt idx="10">
                  <c:v>1393764.6018697431</c:v>
                </c:pt>
              </c:numCache>
            </c:numRef>
          </c:val>
          <c:extLst>
            <c:ext xmlns:c16="http://schemas.microsoft.com/office/drawing/2014/chart" uri="{C3380CC4-5D6E-409C-BE32-E72D297353CC}">
              <c16:uniqueId val="{00000003-CDC2-4D52-B426-145403D8201B}"/>
            </c:ext>
          </c:extLst>
        </c:ser>
        <c:dLbls>
          <c:showLegendKey val="0"/>
          <c:showVal val="0"/>
          <c:showCatName val="0"/>
          <c:showSerName val="0"/>
          <c:showPercent val="0"/>
          <c:showBubbleSize val="0"/>
        </c:dLbls>
        <c:axId val="387730856"/>
        <c:axId val="387732168"/>
      </c:areaChart>
      <c:lineChart>
        <c:grouping val="standard"/>
        <c:varyColors val="0"/>
        <c:ser>
          <c:idx val="1"/>
          <c:order val="0"/>
          <c:tx>
            <c:v>Debt Closing Balance</c:v>
          </c:tx>
          <c:spPr>
            <a:ln w="28575" cap="rnd">
              <a:solidFill>
                <a:schemeClr val="accent2"/>
              </a:solidFill>
              <a:round/>
            </a:ln>
            <a:effectLst/>
          </c:spPr>
          <c:marker>
            <c:symbol val="none"/>
          </c:marker>
          <c:cat>
            <c:numRef>
              <c:f>CashFlow!$F$23:$P$23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CashFlow!$F$48:$P$48</c:f>
              <c:numCache>
                <c:formatCode>#,##0.00;\(#,##0.00\);\-</c:formatCode>
                <c:ptCount val="11"/>
                <c:pt idx="0">
                  <c:v>1096638.202</c:v>
                </c:pt>
                <c:pt idx="1">
                  <c:v>1006351.8453224744</c:v>
                </c:pt>
                <c:pt idx="2">
                  <c:v>912228.31848615385</c:v>
                </c:pt>
                <c:pt idx="3">
                  <c:v>814104.5417592898</c:v>
                </c:pt>
                <c:pt idx="4">
                  <c:v>711810.50452153396</c:v>
                </c:pt>
                <c:pt idx="5">
                  <c:v>605168.97070117353</c:v>
                </c:pt>
                <c:pt idx="6">
                  <c:v>493995.1716934478</c:v>
                </c:pt>
                <c:pt idx="7">
                  <c:v>378096.48622789374</c:v>
                </c:pt>
                <c:pt idx="8">
                  <c:v>257272.1066300536</c:v>
                </c:pt>
                <c:pt idx="9">
                  <c:v>131312.69089930522</c:v>
                </c:pt>
                <c:pt idx="10">
                  <c:v>0</c:v>
                </c:pt>
              </c:numCache>
            </c:numRef>
          </c:val>
          <c:smooth val="0"/>
          <c:extLst>
            <c:ext xmlns:c16="http://schemas.microsoft.com/office/drawing/2014/chart" uri="{C3380CC4-5D6E-409C-BE32-E72D297353CC}">
              <c16:uniqueId val="{00000001-CDC2-4D52-B426-145403D8201B}"/>
            </c:ext>
          </c:extLst>
        </c:ser>
        <c:ser>
          <c:idx val="2"/>
          <c:order val="2"/>
          <c:tx>
            <c:v>Annual Debt Service</c:v>
          </c:tx>
          <c:spPr>
            <a:ln w="28575" cap="rnd">
              <a:solidFill>
                <a:schemeClr val="accent3"/>
              </a:solidFill>
              <a:round/>
            </a:ln>
            <a:effectLst/>
          </c:spPr>
          <c:marker>
            <c:symbol val="none"/>
          </c:marker>
          <c:val>
            <c:numRef>
              <c:f>CashFlow!$F$47:$P$47</c:f>
              <c:numCache>
                <c:formatCode>#,##0.00;\(#,##0.00\);\-</c:formatCode>
                <c:ptCount val="11"/>
                <c:pt idx="0">
                  <c:v>0</c:v>
                </c:pt>
                <c:pt idx="1">
                  <c:v>136893.48026252564</c:v>
                </c:pt>
                <c:pt idx="2">
                  <c:v>136893.48026252564</c:v>
                </c:pt>
                <c:pt idx="3">
                  <c:v>136893.48026252561</c:v>
                </c:pt>
                <c:pt idx="4">
                  <c:v>136893.48026252564</c:v>
                </c:pt>
                <c:pt idx="5">
                  <c:v>136893.48026252561</c:v>
                </c:pt>
                <c:pt idx="6">
                  <c:v>136893.48026252561</c:v>
                </c:pt>
                <c:pt idx="7">
                  <c:v>136893.48026252561</c:v>
                </c:pt>
                <c:pt idx="8">
                  <c:v>136893.48026252564</c:v>
                </c:pt>
                <c:pt idx="9">
                  <c:v>136893.48026252567</c:v>
                </c:pt>
                <c:pt idx="10">
                  <c:v>136893.4802625257</c:v>
                </c:pt>
              </c:numCache>
            </c:numRef>
          </c:val>
          <c:smooth val="0"/>
          <c:extLst>
            <c:ext xmlns:c16="http://schemas.microsoft.com/office/drawing/2014/chart" uri="{C3380CC4-5D6E-409C-BE32-E72D297353CC}">
              <c16:uniqueId val="{00000004-CDC2-4D52-B426-145403D8201B}"/>
            </c:ext>
          </c:extLst>
        </c:ser>
        <c:ser>
          <c:idx val="3"/>
          <c:order val="3"/>
          <c:tx>
            <c:v>Annual Operating Cost Saving</c:v>
          </c:tx>
          <c:spPr>
            <a:ln w="28575" cap="rnd">
              <a:solidFill>
                <a:schemeClr val="accent4"/>
              </a:solidFill>
              <a:round/>
            </a:ln>
            <a:effectLst/>
          </c:spPr>
          <c:marker>
            <c:symbol val="none"/>
          </c:marker>
          <c:val>
            <c:numRef>
              <c:f>CashFlow!$F$42:$P$42</c:f>
              <c:numCache>
                <c:formatCode>#,##0.00;\(#,##0.00\);\-</c:formatCode>
                <c:ptCount val="11"/>
                <c:pt idx="0">
                  <c:v>0</c:v>
                </c:pt>
                <c:pt idx="1">
                  <c:v>276544.09999999998</c:v>
                </c:pt>
                <c:pt idx="2">
                  <c:v>276544.09999999998</c:v>
                </c:pt>
                <c:pt idx="3">
                  <c:v>276544.09999999998</c:v>
                </c:pt>
                <c:pt idx="4">
                  <c:v>276544.09999999998</c:v>
                </c:pt>
                <c:pt idx="5">
                  <c:v>276544.09999999998</c:v>
                </c:pt>
                <c:pt idx="6">
                  <c:v>276544.09999999998</c:v>
                </c:pt>
                <c:pt idx="7">
                  <c:v>276544.09999999998</c:v>
                </c:pt>
                <c:pt idx="8">
                  <c:v>276544.09999999998</c:v>
                </c:pt>
                <c:pt idx="9">
                  <c:v>276544.09999999998</c:v>
                </c:pt>
                <c:pt idx="10">
                  <c:v>276544.09999999998</c:v>
                </c:pt>
              </c:numCache>
            </c:numRef>
          </c:val>
          <c:smooth val="0"/>
          <c:extLst>
            <c:ext xmlns:c16="http://schemas.microsoft.com/office/drawing/2014/chart" uri="{C3380CC4-5D6E-409C-BE32-E72D297353CC}">
              <c16:uniqueId val="{00000005-CDC2-4D52-B426-145403D8201B}"/>
            </c:ext>
          </c:extLst>
        </c:ser>
        <c:dLbls>
          <c:showLegendKey val="0"/>
          <c:showVal val="0"/>
          <c:showCatName val="0"/>
          <c:showSerName val="0"/>
          <c:showPercent val="0"/>
          <c:showBubbleSize val="0"/>
        </c:dLbls>
        <c:marker val="1"/>
        <c:smooth val="0"/>
        <c:axId val="387730856"/>
        <c:axId val="387732168"/>
      </c:lineChart>
      <c:catAx>
        <c:axId val="38773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732168"/>
        <c:crosses val="autoZero"/>
        <c:auto val="1"/>
        <c:lblAlgn val="ctr"/>
        <c:lblOffset val="100"/>
        <c:noMultiLvlLbl val="0"/>
      </c:catAx>
      <c:valAx>
        <c:axId val="387732168"/>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730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Summary of Project Cashflows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1"/>
          <c:tx>
            <c:v>Project Net Cashflow</c:v>
          </c:tx>
          <c:spPr>
            <a:solidFill>
              <a:schemeClr val="accent1"/>
            </a:solidFill>
            <a:ln>
              <a:noFill/>
            </a:ln>
            <a:effectLst/>
          </c:spPr>
          <c:val>
            <c:numRef>
              <c:f>CashFlow!$F$68:$P$68</c:f>
              <c:numCache>
                <c:formatCode>#,##0.00;\(#,##0.00\);\-</c:formatCode>
                <c:ptCount val="11"/>
                <c:pt idx="0">
                  <c:v>-2741.5955050000921</c:v>
                </c:pt>
                <c:pt idx="1">
                  <c:v>136909.02423247424</c:v>
                </c:pt>
                <c:pt idx="2">
                  <c:v>276559.64396994858</c:v>
                </c:pt>
                <c:pt idx="3">
                  <c:v>416210.26370742294</c:v>
                </c:pt>
                <c:pt idx="4">
                  <c:v>555860.88344489725</c:v>
                </c:pt>
                <c:pt idx="5">
                  <c:v>695511.50318237161</c:v>
                </c:pt>
                <c:pt idx="6">
                  <c:v>835162.12291984598</c:v>
                </c:pt>
                <c:pt idx="7">
                  <c:v>974812.74265732034</c:v>
                </c:pt>
                <c:pt idx="8">
                  <c:v>1114463.3623947946</c:v>
                </c:pt>
                <c:pt idx="9">
                  <c:v>1254113.9821322688</c:v>
                </c:pt>
                <c:pt idx="10">
                  <c:v>1393764.6018697431</c:v>
                </c:pt>
              </c:numCache>
            </c:numRef>
          </c:val>
          <c:extLst>
            <c:ext xmlns:c16="http://schemas.microsoft.com/office/drawing/2014/chart" uri="{C3380CC4-5D6E-409C-BE32-E72D297353CC}">
              <c16:uniqueId val="{00000000-B8AF-447F-99D0-042D097543BE}"/>
            </c:ext>
          </c:extLst>
        </c:ser>
        <c:dLbls>
          <c:showLegendKey val="0"/>
          <c:showVal val="0"/>
          <c:showCatName val="0"/>
          <c:showSerName val="0"/>
          <c:showPercent val="0"/>
          <c:showBubbleSize val="0"/>
        </c:dLbls>
        <c:axId val="387730856"/>
        <c:axId val="387732168"/>
      </c:areaChart>
      <c:lineChart>
        <c:grouping val="standard"/>
        <c:varyColors val="0"/>
        <c:ser>
          <c:idx val="1"/>
          <c:order val="0"/>
          <c:tx>
            <c:v>Debt Closing Balance</c:v>
          </c:tx>
          <c:spPr>
            <a:ln w="28575" cap="rnd">
              <a:solidFill>
                <a:schemeClr val="accent2"/>
              </a:solidFill>
              <a:round/>
            </a:ln>
            <a:effectLst/>
          </c:spPr>
          <c:marker>
            <c:symbol val="none"/>
          </c:marker>
          <c:cat>
            <c:numRef>
              <c:f>CashFlow!$F$23:$P$23</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CashFlow!$F$48:$P$48</c:f>
              <c:numCache>
                <c:formatCode>#,##0.00;\(#,##0.00\);\-</c:formatCode>
                <c:ptCount val="11"/>
                <c:pt idx="0">
                  <c:v>1096638.202</c:v>
                </c:pt>
                <c:pt idx="1">
                  <c:v>1006351.8453224744</c:v>
                </c:pt>
                <c:pt idx="2">
                  <c:v>912228.31848615385</c:v>
                </c:pt>
                <c:pt idx="3">
                  <c:v>814104.5417592898</c:v>
                </c:pt>
                <c:pt idx="4">
                  <c:v>711810.50452153396</c:v>
                </c:pt>
                <c:pt idx="5">
                  <c:v>605168.97070117353</c:v>
                </c:pt>
                <c:pt idx="6">
                  <c:v>493995.1716934478</c:v>
                </c:pt>
                <c:pt idx="7">
                  <c:v>378096.48622789374</c:v>
                </c:pt>
                <c:pt idx="8">
                  <c:v>257272.1066300536</c:v>
                </c:pt>
                <c:pt idx="9">
                  <c:v>131312.69089930522</c:v>
                </c:pt>
                <c:pt idx="10">
                  <c:v>0</c:v>
                </c:pt>
              </c:numCache>
            </c:numRef>
          </c:val>
          <c:smooth val="0"/>
          <c:extLst>
            <c:ext xmlns:c16="http://schemas.microsoft.com/office/drawing/2014/chart" uri="{C3380CC4-5D6E-409C-BE32-E72D297353CC}">
              <c16:uniqueId val="{00000001-B8AF-447F-99D0-042D097543BE}"/>
            </c:ext>
          </c:extLst>
        </c:ser>
        <c:ser>
          <c:idx val="2"/>
          <c:order val="2"/>
          <c:tx>
            <c:v>Annual Debt Service</c:v>
          </c:tx>
          <c:spPr>
            <a:ln w="28575" cap="rnd">
              <a:solidFill>
                <a:schemeClr val="accent3"/>
              </a:solidFill>
              <a:round/>
            </a:ln>
            <a:effectLst/>
          </c:spPr>
          <c:marker>
            <c:symbol val="none"/>
          </c:marker>
          <c:val>
            <c:numRef>
              <c:f>CashFlow!$F$47:$P$47</c:f>
              <c:numCache>
                <c:formatCode>#,##0.00;\(#,##0.00\);\-</c:formatCode>
                <c:ptCount val="11"/>
                <c:pt idx="0">
                  <c:v>0</c:v>
                </c:pt>
                <c:pt idx="1">
                  <c:v>136893.48026252564</c:v>
                </c:pt>
                <c:pt idx="2">
                  <c:v>136893.48026252564</c:v>
                </c:pt>
                <c:pt idx="3">
                  <c:v>136893.48026252561</c:v>
                </c:pt>
                <c:pt idx="4">
                  <c:v>136893.48026252564</c:v>
                </c:pt>
                <c:pt idx="5">
                  <c:v>136893.48026252561</c:v>
                </c:pt>
                <c:pt idx="6">
                  <c:v>136893.48026252561</c:v>
                </c:pt>
                <c:pt idx="7">
                  <c:v>136893.48026252561</c:v>
                </c:pt>
                <c:pt idx="8">
                  <c:v>136893.48026252564</c:v>
                </c:pt>
                <c:pt idx="9">
                  <c:v>136893.48026252567</c:v>
                </c:pt>
                <c:pt idx="10">
                  <c:v>136893.4802625257</c:v>
                </c:pt>
              </c:numCache>
            </c:numRef>
          </c:val>
          <c:smooth val="0"/>
          <c:extLst>
            <c:ext xmlns:c16="http://schemas.microsoft.com/office/drawing/2014/chart" uri="{C3380CC4-5D6E-409C-BE32-E72D297353CC}">
              <c16:uniqueId val="{00000002-B8AF-447F-99D0-042D097543BE}"/>
            </c:ext>
          </c:extLst>
        </c:ser>
        <c:ser>
          <c:idx val="3"/>
          <c:order val="3"/>
          <c:tx>
            <c:v>Annual Operating Cost Saving</c:v>
          </c:tx>
          <c:spPr>
            <a:ln w="28575" cap="rnd">
              <a:solidFill>
                <a:schemeClr val="accent4"/>
              </a:solidFill>
              <a:round/>
            </a:ln>
            <a:effectLst/>
          </c:spPr>
          <c:marker>
            <c:symbol val="none"/>
          </c:marker>
          <c:val>
            <c:numRef>
              <c:f>CashFlow!$F$42:$P$42</c:f>
              <c:numCache>
                <c:formatCode>#,##0.00;\(#,##0.00\);\-</c:formatCode>
                <c:ptCount val="11"/>
                <c:pt idx="0">
                  <c:v>0</c:v>
                </c:pt>
                <c:pt idx="1">
                  <c:v>276544.09999999998</c:v>
                </c:pt>
                <c:pt idx="2">
                  <c:v>276544.09999999998</c:v>
                </c:pt>
                <c:pt idx="3">
                  <c:v>276544.09999999998</c:v>
                </c:pt>
                <c:pt idx="4">
                  <c:v>276544.09999999998</c:v>
                </c:pt>
                <c:pt idx="5">
                  <c:v>276544.09999999998</c:v>
                </c:pt>
                <c:pt idx="6">
                  <c:v>276544.09999999998</c:v>
                </c:pt>
                <c:pt idx="7">
                  <c:v>276544.09999999998</c:v>
                </c:pt>
                <c:pt idx="8">
                  <c:v>276544.09999999998</c:v>
                </c:pt>
                <c:pt idx="9">
                  <c:v>276544.09999999998</c:v>
                </c:pt>
                <c:pt idx="10">
                  <c:v>276544.09999999998</c:v>
                </c:pt>
              </c:numCache>
            </c:numRef>
          </c:val>
          <c:smooth val="0"/>
          <c:extLst>
            <c:ext xmlns:c16="http://schemas.microsoft.com/office/drawing/2014/chart" uri="{C3380CC4-5D6E-409C-BE32-E72D297353CC}">
              <c16:uniqueId val="{00000003-B8AF-447F-99D0-042D097543BE}"/>
            </c:ext>
          </c:extLst>
        </c:ser>
        <c:dLbls>
          <c:showLegendKey val="0"/>
          <c:showVal val="0"/>
          <c:showCatName val="0"/>
          <c:showSerName val="0"/>
          <c:showPercent val="0"/>
          <c:showBubbleSize val="0"/>
        </c:dLbls>
        <c:marker val="1"/>
        <c:smooth val="0"/>
        <c:axId val="387730856"/>
        <c:axId val="387732168"/>
      </c:lineChart>
      <c:catAx>
        <c:axId val="38773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732168"/>
        <c:crosses val="autoZero"/>
        <c:auto val="1"/>
        <c:lblAlgn val="ctr"/>
        <c:lblOffset val="100"/>
        <c:noMultiLvlLbl val="0"/>
      </c:catAx>
      <c:valAx>
        <c:axId val="387732168"/>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730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238124</xdr:colOff>
      <xdr:row>3</xdr:row>
      <xdr:rowOff>166007</xdr:rowOff>
    </xdr:from>
    <xdr:to>
      <xdr:col>15</xdr:col>
      <xdr:colOff>292553</xdr:colOff>
      <xdr:row>17</xdr:row>
      <xdr:rowOff>160565</xdr:rowOff>
    </xdr:to>
    <xdr:graphicFrame macro="">
      <xdr:nvGraphicFramePr>
        <xdr:cNvPr id="3" name="Chart 2">
          <a:extLst>
            <a:ext uri="{FF2B5EF4-FFF2-40B4-BE49-F238E27FC236}">
              <a16:creationId xmlns:a16="http://schemas.microsoft.com/office/drawing/2014/main" id="{240A056D-CBB3-4923-B5FE-071A40ECD7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3</xdr:col>
      <xdr:colOff>179294</xdr:colOff>
      <xdr:row>24</xdr:row>
      <xdr:rowOff>233082</xdr:rowOff>
    </xdr:to>
    <xdr:graphicFrame macro="">
      <xdr:nvGraphicFramePr>
        <xdr:cNvPr id="4" name="Chart 3">
          <a:extLst>
            <a:ext uri="{FF2B5EF4-FFF2-40B4-BE49-F238E27FC236}">
              <a16:creationId xmlns:a16="http://schemas.microsoft.com/office/drawing/2014/main" id="{C6F60E1A-5108-4194-8BA0-A01F0BC85B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60"/>
  <sheetViews>
    <sheetView showGridLines="0" tabSelected="1" workbookViewId="0">
      <selection activeCell="B2" sqref="B2"/>
    </sheetView>
  </sheetViews>
  <sheetFormatPr defaultRowHeight="15" x14ac:dyDescent="0.25"/>
  <cols>
    <col min="1" max="2" width="4.28515625" customWidth="1"/>
    <col min="3" max="3" width="14.85546875" bestFit="1" customWidth="1"/>
  </cols>
  <sheetData>
    <row r="1" spans="1:87" s="215" customFormat="1" ht="9.6" customHeight="1" thickBot="1" x14ac:dyDescent="0.3">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row>
    <row r="2" spans="1:87" s="145" customFormat="1" ht="23.25" customHeight="1" thickBot="1" x14ac:dyDescent="0.3">
      <c r="A2" s="214"/>
      <c r="B2" s="232" t="s">
        <v>301</v>
      </c>
      <c r="C2" s="217"/>
      <c r="D2" s="218"/>
      <c r="E2" s="218"/>
      <c r="F2" s="218"/>
      <c r="G2" s="218"/>
      <c r="H2" s="218"/>
      <c r="I2" s="218"/>
      <c r="J2" s="218"/>
      <c r="K2" s="218"/>
      <c r="L2" s="218"/>
      <c r="M2" s="218"/>
      <c r="N2" s="218"/>
      <c r="O2" s="218"/>
      <c r="P2" s="218"/>
      <c r="Q2" s="218"/>
      <c r="R2" s="218"/>
      <c r="S2" s="218"/>
      <c r="T2" s="218"/>
      <c r="U2" s="218"/>
      <c r="V2" s="218"/>
      <c r="W2" s="218"/>
      <c r="X2" s="218"/>
      <c r="Y2" s="219"/>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row>
    <row r="4" spans="1:87" x14ac:dyDescent="0.25">
      <c r="B4" s="65"/>
      <c r="C4" s="74" t="s">
        <v>51</v>
      </c>
      <c r="D4" s="66"/>
      <c r="E4" s="66"/>
      <c r="F4" s="66"/>
      <c r="G4" s="66"/>
      <c r="H4" s="66"/>
      <c r="I4" s="66"/>
      <c r="J4" s="66"/>
      <c r="K4" s="66"/>
      <c r="L4" s="66"/>
      <c r="M4" s="66"/>
      <c r="N4" s="66"/>
      <c r="O4" s="66"/>
      <c r="P4" s="66"/>
      <c r="Q4" s="66"/>
      <c r="R4" s="66"/>
      <c r="S4" s="66"/>
      <c r="T4" s="66"/>
      <c r="U4" s="66"/>
      <c r="V4" s="66"/>
      <c r="W4" s="66"/>
      <c r="X4" s="66"/>
      <c r="Y4" s="67"/>
    </row>
    <row r="5" spans="1:87" x14ac:dyDescent="0.25">
      <c r="B5" s="68"/>
      <c r="C5" s="37" t="s">
        <v>53</v>
      </c>
      <c r="D5" s="64" t="s">
        <v>52</v>
      </c>
      <c r="E5" s="37"/>
      <c r="F5" s="37"/>
      <c r="G5" s="37"/>
      <c r="H5" s="37"/>
      <c r="I5" s="37"/>
      <c r="J5" s="37"/>
      <c r="K5" s="37"/>
      <c r="L5" s="37"/>
      <c r="M5" s="37"/>
      <c r="N5" s="37"/>
      <c r="O5" s="37"/>
      <c r="P5" s="37"/>
      <c r="Q5" s="37"/>
      <c r="R5" s="37"/>
      <c r="S5" s="37"/>
      <c r="T5" s="37"/>
      <c r="U5" s="37"/>
      <c r="V5" s="37"/>
      <c r="W5" s="37"/>
      <c r="X5" s="37"/>
      <c r="Y5" s="69"/>
    </row>
    <row r="6" spans="1:87" ht="15.75" thickBot="1" x14ac:dyDescent="0.3">
      <c r="B6" s="68"/>
      <c r="C6" s="37" t="s">
        <v>54</v>
      </c>
      <c r="D6" s="70" t="s">
        <v>55</v>
      </c>
      <c r="E6" s="37"/>
      <c r="F6" s="37"/>
      <c r="G6" s="37"/>
      <c r="H6" s="37"/>
      <c r="I6" s="37"/>
      <c r="J6" s="37"/>
      <c r="K6" s="37"/>
      <c r="L6" s="37"/>
      <c r="M6" s="37"/>
      <c r="N6" s="37"/>
      <c r="O6" s="37"/>
      <c r="P6" s="37"/>
      <c r="Q6" s="37"/>
      <c r="R6" s="37"/>
      <c r="S6" s="37"/>
      <c r="T6" s="37"/>
      <c r="U6" s="37"/>
      <c r="V6" s="37"/>
      <c r="W6" s="37"/>
      <c r="X6" s="37"/>
      <c r="Y6" s="69"/>
    </row>
    <row r="7" spans="1:87" ht="15.75" thickBot="1" x14ac:dyDescent="0.3">
      <c r="B7" s="68"/>
      <c r="C7" s="37" t="s">
        <v>56</v>
      </c>
      <c r="D7" s="229" t="s">
        <v>57</v>
      </c>
      <c r="E7" s="37"/>
      <c r="F7" s="37"/>
      <c r="G7" s="37"/>
      <c r="H7" s="37"/>
      <c r="I7" s="37"/>
      <c r="J7" s="37"/>
      <c r="K7" s="37"/>
      <c r="L7" s="37"/>
      <c r="M7" s="37"/>
      <c r="N7" s="37"/>
      <c r="O7" s="37"/>
      <c r="P7" s="37"/>
      <c r="Q7" s="37"/>
      <c r="R7" s="37"/>
      <c r="S7" s="37"/>
      <c r="T7" s="37"/>
      <c r="U7" s="37"/>
      <c r="V7" s="37"/>
      <c r="W7" s="37"/>
      <c r="X7" s="37"/>
      <c r="Y7" s="69"/>
    </row>
    <row r="8" spans="1:87" x14ac:dyDescent="0.25">
      <c r="B8" s="71"/>
      <c r="C8" s="72"/>
      <c r="D8" s="72"/>
      <c r="E8" s="72"/>
      <c r="F8" s="72"/>
      <c r="G8" s="72"/>
      <c r="H8" s="72"/>
      <c r="I8" s="72"/>
      <c r="J8" s="72"/>
      <c r="K8" s="72"/>
      <c r="L8" s="72"/>
      <c r="M8" s="72"/>
      <c r="N8" s="72"/>
      <c r="O8" s="72"/>
      <c r="P8" s="72"/>
      <c r="Q8" s="72"/>
      <c r="R8" s="72"/>
      <c r="S8" s="72"/>
      <c r="T8" s="72"/>
      <c r="U8" s="72"/>
      <c r="V8" s="72"/>
      <c r="W8" s="72"/>
      <c r="X8" s="72"/>
      <c r="Y8" s="73"/>
    </row>
    <row r="10" spans="1:87" x14ac:dyDescent="0.25">
      <c r="B10" s="65"/>
      <c r="C10" s="74" t="s">
        <v>59</v>
      </c>
      <c r="D10" s="66"/>
      <c r="E10" s="66"/>
      <c r="F10" s="66"/>
      <c r="G10" s="66"/>
      <c r="H10" s="66"/>
      <c r="I10" s="66"/>
      <c r="J10" s="66"/>
      <c r="K10" s="66"/>
      <c r="L10" s="66"/>
      <c r="M10" s="66"/>
      <c r="N10" s="66"/>
      <c r="O10" s="66"/>
      <c r="P10" s="66"/>
      <c r="Q10" s="66"/>
      <c r="R10" s="66"/>
      <c r="S10" s="66"/>
      <c r="T10" s="66"/>
      <c r="U10" s="66"/>
      <c r="V10" s="66"/>
      <c r="W10" s="66"/>
      <c r="X10" s="66"/>
      <c r="Y10" s="67"/>
    </row>
    <row r="11" spans="1:87" x14ac:dyDescent="0.25">
      <c r="B11" s="68"/>
      <c r="C11" s="37" t="s">
        <v>255</v>
      </c>
      <c r="D11" s="37"/>
      <c r="E11" s="37"/>
      <c r="F11" s="37"/>
      <c r="G11" s="37"/>
      <c r="H11" s="37"/>
      <c r="I11" s="37"/>
      <c r="J11" s="37"/>
      <c r="K11" s="37"/>
      <c r="L11" s="37"/>
      <c r="M11" s="37"/>
      <c r="N11" s="37"/>
      <c r="O11" s="37"/>
      <c r="P11" s="37"/>
      <c r="Q11" s="37"/>
      <c r="R11" s="37"/>
      <c r="S11" s="37"/>
      <c r="T11" s="37"/>
      <c r="U11" s="37"/>
      <c r="V11" s="37"/>
      <c r="W11" s="37"/>
      <c r="X11" s="37"/>
      <c r="Y11" s="69"/>
    </row>
    <row r="12" spans="1:87" x14ac:dyDescent="0.25">
      <c r="B12" s="71"/>
      <c r="C12" s="72"/>
      <c r="D12" s="72"/>
      <c r="E12" s="72"/>
      <c r="F12" s="72"/>
      <c r="G12" s="72"/>
      <c r="H12" s="72"/>
      <c r="I12" s="72"/>
      <c r="J12" s="72"/>
      <c r="K12" s="72"/>
      <c r="L12" s="72"/>
      <c r="M12" s="72"/>
      <c r="N12" s="72"/>
      <c r="O12" s="72"/>
      <c r="P12" s="72"/>
      <c r="Q12" s="72"/>
      <c r="R12" s="72"/>
      <c r="S12" s="72"/>
      <c r="T12" s="72"/>
      <c r="U12" s="72"/>
      <c r="V12" s="72"/>
      <c r="W12" s="72"/>
      <c r="X12" s="72"/>
      <c r="Y12" s="73"/>
    </row>
    <row r="14" spans="1:87" x14ac:dyDescent="0.25">
      <c r="B14" s="220"/>
      <c r="C14" s="221" t="s">
        <v>253</v>
      </c>
      <c r="D14" s="222"/>
      <c r="E14" s="222"/>
      <c r="F14" s="222"/>
      <c r="G14" s="222"/>
      <c r="H14" s="222"/>
      <c r="I14" s="222"/>
      <c r="J14" s="222"/>
      <c r="K14" s="222"/>
      <c r="L14" s="222"/>
      <c r="M14" s="222"/>
      <c r="N14" s="222"/>
      <c r="O14" s="222"/>
      <c r="P14" s="222"/>
      <c r="Q14" s="222"/>
      <c r="R14" s="222"/>
      <c r="S14" s="222"/>
      <c r="T14" s="222"/>
      <c r="U14" s="222"/>
      <c r="V14" s="222"/>
      <c r="W14" s="222"/>
      <c r="X14" s="222"/>
      <c r="Y14" s="223"/>
    </row>
    <row r="15" spans="1:87" ht="27.95" customHeight="1" x14ac:dyDescent="0.25">
      <c r="B15" s="224"/>
      <c r="C15" s="231" t="s">
        <v>302</v>
      </c>
      <c r="D15" s="58"/>
      <c r="E15" s="58"/>
      <c r="F15" s="58"/>
      <c r="G15" s="58"/>
      <c r="H15" s="58"/>
      <c r="I15" s="58"/>
      <c r="J15" s="58"/>
      <c r="K15" s="58"/>
      <c r="L15" s="58"/>
      <c r="M15" s="58"/>
      <c r="N15" s="58"/>
      <c r="O15" s="58"/>
      <c r="P15" s="58"/>
      <c r="Q15" s="58"/>
      <c r="R15" s="58"/>
      <c r="S15" s="58"/>
      <c r="T15" s="58"/>
      <c r="U15" s="58"/>
      <c r="V15" s="58"/>
      <c r="W15" s="58"/>
      <c r="X15" s="58"/>
      <c r="Y15" s="225"/>
    </row>
    <row r="16" spans="1:87" s="216" customFormat="1" ht="45.95" customHeight="1" x14ac:dyDescent="0.25">
      <c r="B16" s="230"/>
      <c r="C16" s="233" t="s">
        <v>257</v>
      </c>
      <c r="D16" s="233"/>
      <c r="E16" s="233"/>
      <c r="F16" s="233"/>
      <c r="G16" s="233"/>
      <c r="H16" s="233"/>
      <c r="I16" s="233"/>
      <c r="J16" s="233"/>
      <c r="K16" s="233"/>
      <c r="L16" s="233"/>
      <c r="M16" s="233"/>
      <c r="N16" s="233"/>
      <c r="O16" s="233"/>
      <c r="P16" s="233"/>
      <c r="Q16" s="233"/>
      <c r="R16" s="233"/>
      <c r="S16" s="233"/>
      <c r="T16" s="233"/>
      <c r="U16" s="233"/>
      <c r="V16" s="233"/>
      <c r="W16" s="233"/>
      <c r="X16" s="233"/>
      <c r="Y16" s="234"/>
    </row>
    <row r="17" spans="2:25" s="216" customFormat="1" ht="45.95" customHeight="1" x14ac:dyDescent="0.25">
      <c r="B17" s="230"/>
      <c r="C17" s="233" t="s">
        <v>258</v>
      </c>
      <c r="D17" s="233"/>
      <c r="E17" s="233"/>
      <c r="F17" s="233"/>
      <c r="G17" s="233"/>
      <c r="H17" s="233"/>
      <c r="I17" s="233"/>
      <c r="J17" s="233"/>
      <c r="K17" s="233"/>
      <c r="L17" s="233"/>
      <c r="M17" s="233"/>
      <c r="N17" s="233"/>
      <c r="O17" s="233"/>
      <c r="P17" s="233"/>
      <c r="Q17" s="233"/>
      <c r="R17" s="233"/>
      <c r="S17" s="233"/>
      <c r="T17" s="233"/>
      <c r="U17" s="233"/>
      <c r="V17" s="233"/>
      <c r="W17" s="233"/>
      <c r="X17" s="233"/>
      <c r="Y17" s="234"/>
    </row>
    <row r="18" spans="2:25" s="216" customFormat="1" ht="45.95" customHeight="1" x14ac:dyDescent="0.25">
      <c r="B18" s="230"/>
      <c r="C18" s="233" t="s">
        <v>259</v>
      </c>
      <c r="D18" s="233"/>
      <c r="E18" s="233"/>
      <c r="F18" s="233"/>
      <c r="G18" s="233"/>
      <c r="H18" s="233"/>
      <c r="I18" s="233"/>
      <c r="J18" s="233"/>
      <c r="K18" s="233"/>
      <c r="L18" s="233"/>
      <c r="M18" s="233"/>
      <c r="N18" s="233"/>
      <c r="O18" s="233"/>
      <c r="P18" s="233"/>
      <c r="Q18" s="233"/>
      <c r="R18" s="233"/>
      <c r="S18" s="233"/>
      <c r="T18" s="233"/>
      <c r="U18" s="233"/>
      <c r="V18" s="233"/>
      <c r="W18" s="233"/>
      <c r="X18" s="233"/>
      <c r="Y18" s="234"/>
    </row>
    <row r="19" spans="2:25" s="216" customFormat="1" ht="53.1" customHeight="1" x14ac:dyDescent="0.25">
      <c r="B19" s="230"/>
      <c r="C19" s="233" t="s">
        <v>260</v>
      </c>
      <c r="D19" s="233"/>
      <c r="E19" s="233"/>
      <c r="F19" s="233"/>
      <c r="G19" s="233"/>
      <c r="H19" s="233"/>
      <c r="I19" s="233"/>
      <c r="J19" s="233"/>
      <c r="K19" s="233"/>
      <c r="L19" s="233"/>
      <c r="M19" s="233"/>
      <c r="N19" s="233"/>
      <c r="O19" s="233"/>
      <c r="P19" s="233"/>
      <c r="Q19" s="233"/>
      <c r="R19" s="233"/>
      <c r="S19" s="233"/>
      <c r="T19" s="233"/>
      <c r="U19" s="233"/>
      <c r="V19" s="233"/>
      <c r="W19" s="233"/>
      <c r="X19" s="233"/>
      <c r="Y19" s="234"/>
    </row>
    <row r="20" spans="2:25" s="216" customFormat="1" ht="45.95" customHeight="1" x14ac:dyDescent="0.25">
      <c r="B20" s="230"/>
      <c r="C20" s="233" t="s">
        <v>263</v>
      </c>
      <c r="D20" s="233"/>
      <c r="E20" s="233"/>
      <c r="F20" s="233"/>
      <c r="G20" s="233"/>
      <c r="H20" s="233"/>
      <c r="I20" s="233"/>
      <c r="J20" s="233"/>
      <c r="K20" s="233"/>
      <c r="L20" s="233"/>
      <c r="M20" s="233"/>
      <c r="N20" s="233"/>
      <c r="O20" s="233"/>
      <c r="P20" s="233"/>
      <c r="Q20" s="233"/>
      <c r="R20" s="233"/>
      <c r="S20" s="233"/>
      <c r="T20" s="233"/>
      <c r="U20" s="233"/>
      <c r="V20" s="233"/>
      <c r="W20" s="233"/>
      <c r="X20" s="233"/>
      <c r="Y20" s="234"/>
    </row>
    <row r="21" spans="2:25" s="216" customFormat="1" ht="53.1" customHeight="1" x14ac:dyDescent="0.25">
      <c r="B21" s="230"/>
      <c r="C21" s="233" t="s">
        <v>268</v>
      </c>
      <c r="D21" s="233"/>
      <c r="E21" s="233"/>
      <c r="F21" s="233"/>
      <c r="G21" s="233"/>
      <c r="H21" s="233"/>
      <c r="I21" s="233"/>
      <c r="J21" s="233"/>
      <c r="K21" s="233"/>
      <c r="L21" s="233"/>
      <c r="M21" s="233"/>
      <c r="N21" s="233"/>
      <c r="O21" s="233"/>
      <c r="P21" s="233"/>
      <c r="Q21" s="233"/>
      <c r="R21" s="233"/>
      <c r="S21" s="233"/>
      <c r="T21" s="233"/>
      <c r="U21" s="233"/>
      <c r="V21" s="233"/>
      <c r="W21" s="233"/>
      <c r="X21" s="233"/>
      <c r="Y21" s="234"/>
    </row>
    <row r="22" spans="2:25" s="216" customFormat="1" ht="45.95" customHeight="1" x14ac:dyDescent="0.25">
      <c r="B22" s="230"/>
      <c r="C22" s="233" t="s">
        <v>269</v>
      </c>
      <c r="D22" s="233"/>
      <c r="E22" s="233"/>
      <c r="F22" s="233"/>
      <c r="G22" s="233"/>
      <c r="H22" s="233"/>
      <c r="I22" s="233"/>
      <c r="J22" s="233"/>
      <c r="K22" s="233"/>
      <c r="L22" s="233"/>
      <c r="M22" s="233"/>
      <c r="N22" s="233"/>
      <c r="O22" s="233"/>
      <c r="P22" s="233"/>
      <c r="Q22" s="233"/>
      <c r="R22" s="233"/>
      <c r="S22" s="233"/>
      <c r="T22" s="233"/>
      <c r="U22" s="233"/>
      <c r="V22" s="233"/>
      <c r="W22" s="233"/>
      <c r="X22" s="233"/>
      <c r="Y22" s="234"/>
    </row>
    <row r="23" spans="2:25" s="216" customFormat="1" ht="45.95" customHeight="1" x14ac:dyDescent="0.25">
      <c r="B23" s="230"/>
      <c r="C23" s="233" t="s">
        <v>275</v>
      </c>
      <c r="D23" s="233"/>
      <c r="E23" s="233"/>
      <c r="F23" s="233"/>
      <c r="G23" s="233"/>
      <c r="H23" s="233"/>
      <c r="I23" s="233"/>
      <c r="J23" s="233"/>
      <c r="K23" s="233"/>
      <c r="L23" s="233"/>
      <c r="M23" s="233"/>
      <c r="N23" s="233"/>
      <c r="O23" s="233"/>
      <c r="P23" s="233"/>
      <c r="Q23" s="233"/>
      <c r="R23" s="233"/>
      <c r="S23" s="233"/>
      <c r="T23" s="233"/>
      <c r="U23" s="233"/>
      <c r="V23" s="233"/>
      <c r="W23" s="233"/>
      <c r="X23" s="233"/>
      <c r="Y23" s="234"/>
    </row>
    <row r="24" spans="2:25" s="216" customFormat="1" ht="45.95" customHeight="1" x14ac:dyDescent="0.25">
      <c r="B24" s="230"/>
      <c r="C24" s="233" t="s">
        <v>282</v>
      </c>
      <c r="D24" s="233"/>
      <c r="E24" s="233"/>
      <c r="F24" s="233"/>
      <c r="G24" s="233"/>
      <c r="H24" s="233"/>
      <c r="I24" s="233"/>
      <c r="J24" s="233"/>
      <c r="K24" s="233"/>
      <c r="L24" s="233"/>
      <c r="M24" s="233"/>
      <c r="N24" s="233"/>
      <c r="O24" s="233"/>
      <c r="P24" s="233"/>
      <c r="Q24" s="233"/>
      <c r="R24" s="233"/>
      <c r="S24" s="233"/>
      <c r="T24" s="233"/>
      <c r="U24" s="233"/>
      <c r="V24" s="233"/>
      <c r="W24" s="233"/>
      <c r="X24" s="233"/>
      <c r="Y24" s="234"/>
    </row>
    <row r="25" spans="2:25" s="216" customFormat="1" ht="45.95" customHeight="1" x14ac:dyDescent="0.25">
      <c r="B25" s="230"/>
      <c r="C25" s="233" t="s">
        <v>283</v>
      </c>
      <c r="D25" s="233"/>
      <c r="E25" s="233"/>
      <c r="F25" s="233"/>
      <c r="G25" s="233"/>
      <c r="H25" s="233"/>
      <c r="I25" s="233"/>
      <c r="J25" s="233"/>
      <c r="K25" s="233"/>
      <c r="L25" s="233"/>
      <c r="M25" s="233"/>
      <c r="N25" s="233"/>
      <c r="O25" s="233"/>
      <c r="P25" s="233"/>
      <c r="Q25" s="233"/>
      <c r="R25" s="233"/>
      <c r="S25" s="233"/>
      <c r="T25" s="233"/>
      <c r="U25" s="233"/>
      <c r="V25" s="233"/>
      <c r="W25" s="233"/>
      <c r="X25" s="233"/>
      <c r="Y25" s="234"/>
    </row>
    <row r="26" spans="2:25" s="216" customFormat="1" ht="53.1" customHeight="1" x14ac:dyDescent="0.25">
      <c r="B26" s="230"/>
      <c r="C26" s="233" t="s">
        <v>285</v>
      </c>
      <c r="D26" s="233"/>
      <c r="E26" s="233"/>
      <c r="F26" s="233"/>
      <c r="G26" s="233"/>
      <c r="H26" s="233"/>
      <c r="I26" s="233"/>
      <c r="J26" s="233"/>
      <c r="K26" s="233"/>
      <c r="L26" s="233"/>
      <c r="M26" s="233"/>
      <c r="N26" s="233"/>
      <c r="O26" s="233"/>
      <c r="P26" s="233"/>
      <c r="Q26" s="233"/>
      <c r="R26" s="233"/>
      <c r="S26" s="233"/>
      <c r="T26" s="233"/>
      <c r="U26" s="233"/>
      <c r="V26" s="233"/>
      <c r="W26" s="233"/>
      <c r="X26" s="233"/>
      <c r="Y26" s="234"/>
    </row>
    <row r="27" spans="2:25" s="216" customFormat="1" ht="28.5" customHeight="1" x14ac:dyDescent="0.25">
      <c r="B27" s="230"/>
      <c r="C27" s="233" t="s">
        <v>288</v>
      </c>
      <c r="D27" s="233"/>
      <c r="E27" s="233"/>
      <c r="F27" s="233"/>
      <c r="G27" s="233"/>
      <c r="H27" s="233"/>
      <c r="I27" s="233"/>
      <c r="J27" s="233"/>
      <c r="K27" s="233"/>
      <c r="L27" s="233"/>
      <c r="M27" s="233"/>
      <c r="N27" s="233"/>
      <c r="O27" s="233"/>
      <c r="P27" s="233"/>
      <c r="Q27" s="233"/>
      <c r="R27" s="233"/>
      <c r="S27" s="233"/>
      <c r="T27" s="233"/>
      <c r="U27" s="233"/>
      <c r="V27" s="233"/>
      <c r="W27" s="233"/>
      <c r="X27" s="233"/>
      <c r="Y27" s="234"/>
    </row>
    <row r="28" spans="2:25" s="216" customFormat="1" ht="28.5" customHeight="1" x14ac:dyDescent="0.25">
      <c r="B28" s="230"/>
      <c r="C28" s="233" t="s">
        <v>289</v>
      </c>
      <c r="D28" s="233"/>
      <c r="E28" s="233"/>
      <c r="F28" s="233"/>
      <c r="G28" s="233"/>
      <c r="H28" s="233"/>
      <c r="I28" s="233"/>
      <c r="J28" s="233"/>
      <c r="K28" s="233"/>
      <c r="L28" s="233"/>
      <c r="M28" s="233"/>
      <c r="N28" s="233"/>
      <c r="O28" s="233"/>
      <c r="P28" s="233"/>
      <c r="Q28" s="233"/>
      <c r="R28" s="233"/>
      <c r="S28" s="233"/>
      <c r="T28" s="233"/>
      <c r="U28" s="233"/>
      <c r="V28" s="233"/>
      <c r="W28" s="233"/>
      <c r="X28" s="233"/>
      <c r="Y28" s="234"/>
    </row>
    <row r="29" spans="2:25" s="216" customFormat="1" ht="28.5" customHeight="1" x14ac:dyDescent="0.25">
      <c r="B29" s="230"/>
      <c r="C29" s="233" t="s">
        <v>290</v>
      </c>
      <c r="D29" s="233"/>
      <c r="E29" s="233"/>
      <c r="F29" s="233"/>
      <c r="G29" s="233"/>
      <c r="H29" s="233"/>
      <c r="I29" s="233"/>
      <c r="J29" s="233"/>
      <c r="K29" s="233"/>
      <c r="L29" s="233"/>
      <c r="M29" s="233"/>
      <c r="N29" s="233"/>
      <c r="O29" s="233"/>
      <c r="P29" s="233"/>
      <c r="Q29" s="233"/>
      <c r="R29" s="233"/>
      <c r="S29" s="233"/>
      <c r="T29" s="233"/>
      <c r="U29" s="233"/>
      <c r="V29" s="233"/>
      <c r="W29" s="233"/>
      <c r="X29" s="233"/>
      <c r="Y29" s="234"/>
    </row>
    <row r="30" spans="2:25" s="216" customFormat="1" ht="28.5" customHeight="1" x14ac:dyDescent="0.25">
      <c r="B30" s="230"/>
      <c r="C30" s="233" t="s">
        <v>291</v>
      </c>
      <c r="D30" s="233"/>
      <c r="E30" s="233"/>
      <c r="F30" s="233"/>
      <c r="G30" s="233"/>
      <c r="H30" s="233"/>
      <c r="I30" s="233"/>
      <c r="J30" s="233"/>
      <c r="K30" s="233"/>
      <c r="L30" s="233"/>
      <c r="M30" s="233"/>
      <c r="N30" s="233"/>
      <c r="O30" s="233"/>
      <c r="P30" s="233"/>
      <c r="Q30" s="233"/>
      <c r="R30" s="233"/>
      <c r="S30" s="233"/>
      <c r="T30" s="233"/>
      <c r="U30" s="233"/>
      <c r="V30" s="233"/>
      <c r="W30" s="233"/>
      <c r="X30" s="233"/>
      <c r="Y30" s="234"/>
    </row>
    <row r="31" spans="2:25" s="216" customFormat="1" ht="28.5" customHeight="1" x14ac:dyDescent="0.25">
      <c r="B31" s="230"/>
      <c r="C31" s="233" t="s">
        <v>293</v>
      </c>
      <c r="D31" s="233"/>
      <c r="E31" s="233"/>
      <c r="F31" s="233"/>
      <c r="G31" s="233"/>
      <c r="H31" s="233"/>
      <c r="I31" s="233"/>
      <c r="J31" s="233"/>
      <c r="K31" s="233"/>
      <c r="L31" s="233"/>
      <c r="M31" s="233"/>
      <c r="N31" s="233"/>
      <c r="O31" s="233"/>
      <c r="P31" s="233"/>
      <c r="Q31" s="233"/>
      <c r="R31" s="233"/>
      <c r="S31" s="233"/>
      <c r="T31" s="233"/>
      <c r="U31" s="233"/>
      <c r="V31" s="233"/>
      <c r="W31" s="233"/>
      <c r="X31" s="233"/>
      <c r="Y31" s="234"/>
    </row>
    <row r="32" spans="2:25" s="216" customFormat="1" ht="28.5" customHeight="1" x14ac:dyDescent="0.25">
      <c r="B32" s="230"/>
      <c r="C32" s="233" t="s">
        <v>300</v>
      </c>
      <c r="D32" s="233"/>
      <c r="E32" s="233"/>
      <c r="F32" s="233"/>
      <c r="G32" s="233"/>
      <c r="H32" s="233"/>
      <c r="I32" s="233"/>
      <c r="J32" s="233"/>
      <c r="K32" s="233"/>
      <c r="L32" s="233"/>
      <c r="M32" s="233"/>
      <c r="N32" s="233"/>
      <c r="O32" s="233"/>
      <c r="P32" s="233"/>
      <c r="Q32" s="233"/>
      <c r="R32" s="233"/>
      <c r="S32" s="233"/>
      <c r="T32" s="233"/>
      <c r="U32" s="233"/>
      <c r="V32" s="233"/>
      <c r="W32" s="233"/>
      <c r="X32" s="233"/>
      <c r="Y32" s="234"/>
    </row>
    <row r="33" spans="2:25" s="216" customFormat="1" ht="28.5" customHeight="1" x14ac:dyDescent="0.25">
      <c r="B33" s="230"/>
      <c r="C33" s="233" t="s">
        <v>294</v>
      </c>
      <c r="D33" s="233"/>
      <c r="E33" s="233"/>
      <c r="F33" s="233"/>
      <c r="G33" s="233"/>
      <c r="H33" s="233"/>
      <c r="I33" s="233"/>
      <c r="J33" s="233"/>
      <c r="K33" s="233"/>
      <c r="L33" s="233"/>
      <c r="M33" s="233"/>
      <c r="N33" s="233"/>
      <c r="O33" s="233"/>
      <c r="P33" s="233"/>
      <c r="Q33" s="233"/>
      <c r="R33" s="233"/>
      <c r="S33" s="233"/>
      <c r="T33" s="233"/>
      <c r="U33" s="233"/>
      <c r="V33" s="233"/>
      <c r="W33" s="233"/>
      <c r="X33" s="233"/>
      <c r="Y33" s="234"/>
    </row>
    <row r="34" spans="2:25" s="216" customFormat="1" ht="45.95" customHeight="1" x14ac:dyDescent="0.25">
      <c r="B34" s="230"/>
      <c r="C34" s="233" t="s">
        <v>295</v>
      </c>
      <c r="D34" s="233"/>
      <c r="E34" s="233"/>
      <c r="F34" s="233"/>
      <c r="G34" s="233"/>
      <c r="H34" s="233"/>
      <c r="I34" s="233"/>
      <c r="J34" s="233"/>
      <c r="K34" s="233"/>
      <c r="L34" s="233"/>
      <c r="M34" s="233"/>
      <c r="N34" s="233"/>
      <c r="O34" s="233"/>
      <c r="P34" s="233"/>
      <c r="Q34" s="233"/>
      <c r="R34" s="233"/>
      <c r="S34" s="233"/>
      <c r="T34" s="233"/>
      <c r="U34" s="233"/>
      <c r="V34" s="233"/>
      <c r="W34" s="233"/>
      <c r="X34" s="233"/>
      <c r="Y34" s="234"/>
    </row>
    <row r="35" spans="2:25" s="216" customFormat="1" ht="30.95" customHeight="1" x14ac:dyDescent="0.25">
      <c r="B35" s="230"/>
      <c r="C35" s="233" t="s">
        <v>296</v>
      </c>
      <c r="D35" s="233"/>
      <c r="E35" s="233"/>
      <c r="F35" s="233"/>
      <c r="G35" s="233"/>
      <c r="H35" s="233"/>
      <c r="I35" s="233"/>
      <c r="J35" s="233"/>
      <c r="K35" s="233"/>
      <c r="L35" s="233"/>
      <c r="M35" s="233"/>
      <c r="N35" s="233"/>
      <c r="O35" s="233"/>
      <c r="P35" s="233"/>
      <c r="Q35" s="233"/>
      <c r="R35" s="233"/>
      <c r="S35" s="233"/>
      <c r="T35" s="233"/>
      <c r="U35" s="233"/>
      <c r="V35" s="233"/>
      <c r="W35" s="233"/>
      <c r="X35" s="233"/>
      <c r="Y35" s="234"/>
    </row>
    <row r="36" spans="2:25" s="216" customFormat="1" ht="35.450000000000003" customHeight="1" x14ac:dyDescent="0.25">
      <c r="B36" s="230"/>
      <c r="C36" s="233" t="s">
        <v>297</v>
      </c>
      <c r="D36" s="233"/>
      <c r="E36" s="233"/>
      <c r="F36" s="233"/>
      <c r="G36" s="233"/>
      <c r="H36" s="233"/>
      <c r="I36" s="233"/>
      <c r="J36" s="233"/>
      <c r="K36" s="233"/>
      <c r="L36" s="233"/>
      <c r="M36" s="233"/>
      <c r="N36" s="233"/>
      <c r="O36" s="233"/>
      <c r="P36" s="233"/>
      <c r="Q36" s="233"/>
      <c r="R36" s="233"/>
      <c r="S36" s="233"/>
      <c r="T36" s="233"/>
      <c r="U36" s="233"/>
      <c r="V36" s="233"/>
      <c r="W36" s="233"/>
      <c r="X36" s="233"/>
      <c r="Y36" s="234"/>
    </row>
    <row r="37" spans="2:25" ht="12.6" customHeight="1" x14ac:dyDescent="0.25">
      <c r="B37" s="82"/>
      <c r="C37" s="226"/>
      <c r="D37" s="226" t="s">
        <v>137</v>
      </c>
      <c r="E37" s="226" t="s">
        <v>137</v>
      </c>
      <c r="F37" s="226"/>
      <c r="G37" s="226"/>
      <c r="H37" s="226"/>
      <c r="I37" s="226"/>
      <c r="J37" s="226"/>
      <c r="K37" s="226"/>
      <c r="L37" s="226"/>
      <c r="M37" s="226"/>
      <c r="N37" s="226"/>
      <c r="O37" s="226"/>
      <c r="P37" s="226"/>
      <c r="Q37" s="226"/>
      <c r="R37" s="226"/>
      <c r="S37" s="226"/>
      <c r="T37" s="226"/>
      <c r="U37" s="226"/>
      <c r="V37" s="226"/>
      <c r="W37" s="226"/>
      <c r="X37" s="226"/>
      <c r="Y37" s="227"/>
    </row>
    <row r="39" spans="2:25" x14ac:dyDescent="0.25">
      <c r="B39" s="65"/>
      <c r="C39" s="74" t="s">
        <v>60</v>
      </c>
      <c r="D39" s="66"/>
      <c r="E39" s="66"/>
      <c r="F39" s="66"/>
      <c r="G39" s="66"/>
      <c r="H39" s="66"/>
      <c r="I39" s="66"/>
      <c r="J39" s="66"/>
      <c r="K39" s="66"/>
      <c r="L39" s="66"/>
      <c r="M39" s="66"/>
      <c r="N39" s="66"/>
      <c r="O39" s="66"/>
      <c r="P39" s="66"/>
      <c r="Q39" s="66"/>
      <c r="R39" s="66"/>
      <c r="S39" s="66"/>
      <c r="T39" s="66"/>
      <c r="U39" s="66"/>
      <c r="V39" s="66"/>
      <c r="W39" s="66"/>
      <c r="X39" s="66"/>
      <c r="Y39" s="67"/>
    </row>
    <row r="40" spans="2:25" x14ac:dyDescent="0.25">
      <c r="B40" s="68"/>
      <c r="C40" s="75" t="s">
        <v>63</v>
      </c>
      <c r="D40" s="37"/>
      <c r="E40" s="37"/>
      <c r="F40" s="37"/>
      <c r="G40" s="37"/>
      <c r="H40" s="37"/>
      <c r="I40" s="37"/>
      <c r="J40" s="37"/>
      <c r="K40" s="37"/>
      <c r="L40" s="37"/>
      <c r="M40" s="37"/>
      <c r="N40" s="37"/>
      <c r="O40" s="37"/>
      <c r="P40" s="37"/>
      <c r="Q40" s="37"/>
      <c r="R40" s="37"/>
      <c r="S40" s="37"/>
      <c r="T40" s="37"/>
      <c r="U40" s="37"/>
      <c r="V40" s="37"/>
      <c r="W40" s="37"/>
      <c r="X40" s="37"/>
      <c r="Y40" s="69"/>
    </row>
    <row r="41" spans="2:25" x14ac:dyDescent="0.25">
      <c r="B41" s="68"/>
      <c r="C41" s="76" t="s">
        <v>254</v>
      </c>
      <c r="D41" s="37"/>
      <c r="E41" s="37"/>
      <c r="F41" s="37"/>
      <c r="G41" s="37"/>
      <c r="H41" s="37"/>
      <c r="I41" s="37"/>
      <c r="J41" s="37"/>
      <c r="K41" s="37"/>
      <c r="L41" s="37"/>
      <c r="M41" s="37"/>
      <c r="N41" s="37"/>
      <c r="O41" s="37"/>
      <c r="P41" s="37"/>
      <c r="Q41" s="37"/>
      <c r="R41" s="37"/>
      <c r="S41" s="37"/>
      <c r="T41" s="37"/>
      <c r="U41" s="37"/>
      <c r="V41" s="37"/>
      <c r="W41" s="37"/>
      <c r="X41" s="37"/>
      <c r="Y41" s="69"/>
    </row>
    <row r="42" spans="2:25" x14ac:dyDescent="0.25">
      <c r="B42" s="68"/>
      <c r="C42" s="76" t="s">
        <v>64</v>
      </c>
      <c r="D42" s="37"/>
      <c r="E42" s="37"/>
      <c r="F42" s="37"/>
      <c r="G42" s="37"/>
      <c r="H42" s="37"/>
      <c r="I42" s="37"/>
      <c r="J42" s="37"/>
      <c r="K42" s="37"/>
      <c r="L42" s="37"/>
      <c r="M42" s="37"/>
      <c r="N42" s="37"/>
      <c r="O42" s="37"/>
      <c r="P42" s="37"/>
      <c r="Q42" s="37"/>
      <c r="R42" s="37"/>
      <c r="S42" s="37"/>
      <c r="T42" s="37"/>
      <c r="U42" s="37"/>
      <c r="V42" s="37"/>
      <c r="W42" s="37"/>
      <c r="X42" s="37"/>
      <c r="Y42" s="69"/>
    </row>
    <row r="43" spans="2:25" x14ac:dyDescent="0.25">
      <c r="B43" s="68"/>
      <c r="C43" s="77" t="s">
        <v>83</v>
      </c>
      <c r="D43" s="37"/>
      <c r="E43" s="37"/>
      <c r="F43" s="37"/>
      <c r="G43" s="37"/>
      <c r="H43" s="37"/>
      <c r="I43" s="37"/>
      <c r="J43" s="37"/>
      <c r="K43" s="37"/>
      <c r="L43" s="37"/>
      <c r="M43" s="37"/>
      <c r="N43" s="37"/>
      <c r="O43" s="37"/>
      <c r="P43" s="37"/>
      <c r="Q43" s="37"/>
      <c r="R43" s="37"/>
      <c r="S43" s="37"/>
      <c r="T43" s="37"/>
      <c r="U43" s="37"/>
      <c r="V43" s="37"/>
      <c r="W43" s="37"/>
      <c r="X43" s="37"/>
      <c r="Y43" s="69"/>
    </row>
    <row r="44" spans="2:25" x14ac:dyDescent="0.25">
      <c r="B44" s="68"/>
      <c r="C44" s="77" t="s">
        <v>66</v>
      </c>
      <c r="D44" s="37"/>
      <c r="E44" s="37"/>
      <c r="F44" s="37"/>
      <c r="G44" s="37"/>
      <c r="H44" s="37"/>
      <c r="I44" s="37"/>
      <c r="J44" s="37"/>
      <c r="K44" s="37"/>
      <c r="L44" s="37"/>
      <c r="M44" s="37"/>
      <c r="N44" s="37"/>
      <c r="O44" s="37"/>
      <c r="P44" s="37"/>
      <c r="Q44" s="37"/>
      <c r="R44" s="37"/>
      <c r="S44" s="37"/>
      <c r="T44" s="37"/>
      <c r="U44" s="37"/>
      <c r="V44" s="37"/>
      <c r="W44" s="37"/>
      <c r="X44" s="37"/>
      <c r="Y44" s="69"/>
    </row>
    <row r="45" spans="2:25" x14ac:dyDescent="0.25">
      <c r="B45" s="68"/>
      <c r="C45" s="77" t="s">
        <v>67</v>
      </c>
      <c r="D45" s="37"/>
      <c r="E45" s="37"/>
      <c r="F45" s="37"/>
      <c r="G45" s="37"/>
      <c r="H45" s="37"/>
      <c r="I45" s="37"/>
      <c r="J45" s="37"/>
      <c r="K45" s="37"/>
      <c r="L45" s="37"/>
      <c r="M45" s="37"/>
      <c r="N45" s="37"/>
      <c r="O45" s="37"/>
      <c r="P45" s="37"/>
      <c r="Q45" s="37"/>
      <c r="R45" s="37"/>
      <c r="S45" s="37"/>
      <c r="T45" s="37"/>
      <c r="U45" s="37"/>
      <c r="V45" s="37"/>
      <c r="W45" s="37"/>
      <c r="X45" s="37"/>
      <c r="Y45" s="69"/>
    </row>
    <row r="46" spans="2:25" x14ac:dyDescent="0.25">
      <c r="B46" s="68"/>
      <c r="C46" s="228" t="s">
        <v>68</v>
      </c>
      <c r="D46" s="58"/>
      <c r="E46" s="58"/>
      <c r="F46" s="58"/>
      <c r="G46" s="58"/>
      <c r="H46" s="58"/>
      <c r="I46" s="58"/>
      <c r="J46" s="58"/>
      <c r="K46" s="58"/>
      <c r="L46" s="58"/>
      <c r="M46" s="58"/>
      <c r="N46" s="58"/>
      <c r="O46" s="58"/>
      <c r="P46" s="58"/>
      <c r="Q46" s="58"/>
      <c r="R46" s="58"/>
      <c r="S46" s="58"/>
      <c r="T46" s="58"/>
      <c r="U46" s="58"/>
      <c r="V46" s="58"/>
      <c r="W46" s="58"/>
      <c r="X46" s="58"/>
      <c r="Y46" s="225"/>
    </row>
    <row r="47" spans="2:25" x14ac:dyDescent="0.25">
      <c r="B47" s="68"/>
      <c r="C47" s="228" t="s">
        <v>298</v>
      </c>
      <c r="D47" s="58"/>
      <c r="E47" s="58"/>
      <c r="F47" s="58"/>
      <c r="G47" s="58"/>
      <c r="H47" s="58"/>
      <c r="I47" s="58"/>
      <c r="J47" s="58"/>
      <c r="K47" s="58"/>
      <c r="L47" s="58"/>
      <c r="M47" s="58"/>
      <c r="N47" s="58"/>
      <c r="O47" s="58"/>
      <c r="P47" s="58"/>
      <c r="Q47" s="58"/>
      <c r="R47" s="58"/>
      <c r="S47" s="58"/>
      <c r="T47" s="58"/>
      <c r="U47" s="58"/>
      <c r="V47" s="58"/>
      <c r="W47" s="58"/>
      <c r="X47" s="58"/>
      <c r="Y47" s="225"/>
    </row>
    <row r="48" spans="2:25" ht="35.450000000000003" customHeight="1" x14ac:dyDescent="0.25">
      <c r="B48" s="71"/>
      <c r="C48" s="235" t="s">
        <v>299</v>
      </c>
      <c r="D48" s="235"/>
      <c r="E48" s="235"/>
      <c r="F48" s="235"/>
      <c r="G48" s="235"/>
      <c r="H48" s="235"/>
      <c r="I48" s="235"/>
      <c r="J48" s="235"/>
      <c r="K48" s="235"/>
      <c r="L48" s="235"/>
      <c r="M48" s="235"/>
      <c r="N48" s="235"/>
      <c r="O48" s="235"/>
      <c r="P48" s="235"/>
      <c r="Q48" s="235"/>
      <c r="R48" s="235"/>
      <c r="S48" s="235"/>
      <c r="T48" s="235"/>
      <c r="U48" s="235"/>
      <c r="V48" s="235"/>
      <c r="W48" s="235"/>
      <c r="X48" s="235"/>
      <c r="Y48" s="236"/>
    </row>
    <row r="49" spans="1:87" x14ac:dyDescent="0.25">
      <c r="C49" s="145"/>
      <c r="D49" s="145"/>
      <c r="E49" s="145"/>
      <c r="F49" s="145"/>
      <c r="G49" s="145"/>
      <c r="H49" s="145"/>
      <c r="I49" s="145"/>
      <c r="J49" s="145"/>
      <c r="K49" s="145"/>
      <c r="L49" s="145"/>
      <c r="M49" s="145"/>
      <c r="N49" s="145"/>
      <c r="O49" s="145"/>
      <c r="P49" s="145"/>
      <c r="Q49" s="145"/>
      <c r="R49" s="145"/>
      <c r="S49" s="145"/>
      <c r="T49" s="145"/>
      <c r="U49" s="145"/>
      <c r="V49" s="145"/>
      <c r="W49" s="145"/>
      <c r="X49" s="145"/>
      <c r="Y49" s="145"/>
    </row>
    <row r="50" spans="1:87" x14ac:dyDescent="0.25">
      <c r="B50" s="65"/>
      <c r="C50" s="221" t="s">
        <v>61</v>
      </c>
      <c r="D50" s="222"/>
      <c r="E50" s="222"/>
      <c r="F50" s="222"/>
      <c r="G50" s="222"/>
      <c r="H50" s="222"/>
      <c r="I50" s="222"/>
      <c r="J50" s="222"/>
      <c r="K50" s="222"/>
      <c r="L50" s="222"/>
      <c r="M50" s="222"/>
      <c r="N50" s="222"/>
      <c r="O50" s="222"/>
      <c r="P50" s="222"/>
      <c r="Q50" s="222"/>
      <c r="R50" s="222"/>
      <c r="S50" s="222"/>
      <c r="T50" s="222"/>
      <c r="U50" s="222"/>
      <c r="V50" s="222"/>
      <c r="W50" s="222"/>
      <c r="X50" s="222"/>
      <c r="Y50" s="223"/>
    </row>
    <row r="51" spans="1:87" x14ac:dyDescent="0.25">
      <c r="B51" s="68"/>
      <c r="C51" s="58" t="s">
        <v>62</v>
      </c>
      <c r="D51" s="58"/>
      <c r="E51" s="58"/>
      <c r="F51" s="58"/>
      <c r="G51" s="58"/>
      <c r="H51" s="58"/>
      <c r="I51" s="58"/>
      <c r="J51" s="58"/>
      <c r="K51" s="58"/>
      <c r="L51" s="58"/>
      <c r="M51" s="58"/>
      <c r="N51" s="58"/>
      <c r="O51" s="58"/>
      <c r="P51" s="58"/>
      <c r="Q51" s="58"/>
      <c r="R51" s="58"/>
      <c r="S51" s="58"/>
      <c r="T51" s="58"/>
      <c r="U51" s="58"/>
      <c r="V51" s="58"/>
      <c r="W51" s="58"/>
      <c r="X51" s="58"/>
      <c r="Y51" s="225"/>
    </row>
    <row r="52" spans="1:87" x14ac:dyDescent="0.25">
      <c r="B52" s="71"/>
      <c r="C52" s="226"/>
      <c r="D52" s="226"/>
      <c r="E52" s="226"/>
      <c r="F52" s="226"/>
      <c r="G52" s="226"/>
      <c r="H52" s="226"/>
      <c r="I52" s="226"/>
      <c r="J52" s="226"/>
      <c r="K52" s="226"/>
      <c r="L52" s="226"/>
      <c r="M52" s="226"/>
      <c r="N52" s="226"/>
      <c r="O52" s="226"/>
      <c r="P52" s="226"/>
      <c r="Q52" s="226"/>
      <c r="R52" s="226"/>
      <c r="S52" s="226"/>
      <c r="T52" s="226"/>
      <c r="U52" s="226"/>
      <c r="V52" s="226"/>
      <c r="W52" s="226"/>
      <c r="X52" s="226"/>
      <c r="Y52" s="227"/>
    </row>
    <row r="53" spans="1:87" x14ac:dyDescent="0.25">
      <c r="C53" s="145"/>
      <c r="D53" s="145"/>
      <c r="E53" s="145"/>
      <c r="F53" s="145"/>
      <c r="G53" s="145"/>
      <c r="H53" s="145"/>
      <c r="I53" s="145"/>
      <c r="J53" s="145"/>
      <c r="K53" s="145"/>
      <c r="L53" s="145"/>
      <c r="M53" s="145"/>
      <c r="N53" s="145"/>
      <c r="O53" s="145"/>
      <c r="P53" s="145"/>
      <c r="Q53" s="145"/>
      <c r="R53" s="145"/>
      <c r="S53" s="145"/>
      <c r="T53" s="145"/>
      <c r="U53" s="145"/>
      <c r="V53" s="145"/>
      <c r="W53" s="145"/>
      <c r="X53" s="145"/>
      <c r="Y53" s="145"/>
    </row>
    <row r="54" spans="1:87" x14ac:dyDescent="0.25">
      <c r="B54" s="65"/>
      <c r="C54" s="221" t="s">
        <v>58</v>
      </c>
      <c r="D54" s="222"/>
      <c r="E54" s="222"/>
      <c r="F54" s="222"/>
      <c r="G54" s="222"/>
      <c r="H54" s="222"/>
      <c r="I54" s="222"/>
      <c r="J54" s="222"/>
      <c r="K54" s="222"/>
      <c r="L54" s="222"/>
      <c r="M54" s="222"/>
      <c r="N54" s="222"/>
      <c r="O54" s="222"/>
      <c r="P54" s="222"/>
      <c r="Q54" s="222"/>
      <c r="R54" s="222"/>
      <c r="S54" s="222"/>
      <c r="T54" s="222"/>
      <c r="U54" s="222"/>
      <c r="V54" s="222"/>
      <c r="W54" s="222"/>
      <c r="X54" s="222"/>
      <c r="Y54" s="223"/>
    </row>
    <row r="55" spans="1:87" ht="62.45" customHeight="1" x14ac:dyDescent="0.25">
      <c r="B55" s="68"/>
      <c r="C55" s="237" t="s">
        <v>272</v>
      </c>
      <c r="D55" s="237"/>
      <c r="E55" s="237"/>
      <c r="F55" s="237"/>
      <c r="G55" s="237"/>
      <c r="H55" s="237"/>
      <c r="I55" s="237"/>
      <c r="J55" s="237"/>
      <c r="K55" s="237"/>
      <c r="L55" s="237"/>
      <c r="M55" s="237"/>
      <c r="N55" s="237"/>
      <c r="O55" s="237"/>
      <c r="P55" s="237"/>
      <c r="Q55" s="237"/>
      <c r="R55" s="237"/>
      <c r="S55" s="237"/>
      <c r="T55" s="237"/>
      <c r="U55" s="237"/>
      <c r="V55" s="237"/>
      <c r="W55" s="237"/>
      <c r="X55" s="237"/>
      <c r="Y55" s="225"/>
    </row>
    <row r="56" spans="1:87" x14ac:dyDescent="0.25">
      <c r="B56" s="71"/>
      <c r="C56" s="72"/>
      <c r="D56" s="72"/>
      <c r="E56" s="72"/>
      <c r="F56" s="72"/>
      <c r="G56" s="72"/>
      <c r="H56" s="72"/>
      <c r="I56" s="72"/>
      <c r="J56" s="72"/>
      <c r="K56" s="72"/>
      <c r="L56" s="72"/>
      <c r="M56" s="72"/>
      <c r="N56" s="72"/>
      <c r="O56" s="72"/>
      <c r="P56" s="72"/>
      <c r="Q56" s="72"/>
      <c r="R56" s="72"/>
      <c r="S56" s="72"/>
      <c r="T56" s="72"/>
      <c r="U56" s="72"/>
      <c r="V56" s="72"/>
      <c r="W56" s="72"/>
      <c r="X56" s="72"/>
      <c r="Y56" s="73"/>
    </row>
    <row r="58" spans="1:87" x14ac:dyDescent="0.25">
      <c r="A58" s="1" t="s">
        <v>22</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row>
    <row r="60" spans="1:87" x14ac:dyDescent="0.25">
      <c r="I60" s="216"/>
    </row>
  </sheetData>
  <mergeCells count="23">
    <mergeCell ref="C55:X55"/>
    <mergeCell ref="C16:Y16"/>
    <mergeCell ref="C17:Y17"/>
    <mergeCell ref="C18:Y18"/>
    <mergeCell ref="C19:Y19"/>
    <mergeCell ref="C20:Y20"/>
    <mergeCell ref="C21:Y21"/>
    <mergeCell ref="C22:Y22"/>
    <mergeCell ref="C23:Y23"/>
    <mergeCell ref="C24:Y24"/>
    <mergeCell ref="C25:Y25"/>
    <mergeCell ref="C26:Y26"/>
    <mergeCell ref="C27:Y27"/>
    <mergeCell ref="C28:Y28"/>
    <mergeCell ref="C29:Y29"/>
    <mergeCell ref="C30:Y30"/>
    <mergeCell ref="C36:Y36"/>
    <mergeCell ref="C48:Y48"/>
    <mergeCell ref="C31:Y31"/>
    <mergeCell ref="C32:Y32"/>
    <mergeCell ref="C33:Y33"/>
    <mergeCell ref="C34:Y34"/>
    <mergeCell ref="C35:Y35"/>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A09D-3638-4AC0-9AD7-4584D2839722}">
  <sheetPr>
    <tabColor rgb="FFFFC000"/>
  </sheetPr>
  <dimension ref="A1:D40"/>
  <sheetViews>
    <sheetView workbookViewId="0">
      <selection activeCell="C6" sqref="C6"/>
    </sheetView>
  </sheetViews>
  <sheetFormatPr defaultRowHeight="15" x14ac:dyDescent="0.25"/>
  <cols>
    <col min="1" max="1" width="3.28515625" customWidth="1"/>
    <col min="2" max="2" width="57.5703125" customWidth="1"/>
    <col min="3" max="3" width="26.5703125" customWidth="1"/>
    <col min="4" max="4" width="131.85546875" customWidth="1"/>
  </cols>
  <sheetData>
    <row r="1" spans="1:4" x14ac:dyDescent="0.25">
      <c r="A1" s="30"/>
      <c r="B1" s="30"/>
      <c r="C1" s="30"/>
      <c r="D1" s="30"/>
    </row>
    <row r="2" spans="1:4" ht="28.5" x14ac:dyDescent="0.45">
      <c r="A2" s="211"/>
      <c r="B2" s="211" t="s">
        <v>98</v>
      </c>
      <c r="C2" s="211"/>
      <c r="D2" s="211"/>
    </row>
    <row r="3" spans="1:4" ht="9" customHeight="1" x14ac:dyDescent="0.45">
      <c r="A3" s="165"/>
      <c r="B3" s="165"/>
    </row>
    <row r="4" spans="1:4" ht="15.75" x14ac:dyDescent="0.25">
      <c r="B4" s="120" t="s">
        <v>84</v>
      </c>
      <c r="C4" s="121" t="s">
        <v>85</v>
      </c>
      <c r="D4" s="120" t="s">
        <v>86</v>
      </c>
    </row>
    <row r="5" spans="1:4" x14ac:dyDescent="0.25">
      <c r="B5" s="122" t="s">
        <v>87</v>
      </c>
      <c r="C5" s="123"/>
      <c r="D5" s="124"/>
    </row>
    <row r="6" spans="1:4" x14ac:dyDescent="0.25">
      <c r="B6" s="125" t="s">
        <v>100</v>
      </c>
      <c r="C6" s="156">
        <v>0.2</v>
      </c>
      <c r="D6" s="126" t="s">
        <v>99</v>
      </c>
    </row>
    <row r="7" spans="1:4" x14ac:dyDescent="0.25">
      <c r="B7" s="125" t="s">
        <v>101</v>
      </c>
      <c r="C7" s="127">
        <v>4350</v>
      </c>
      <c r="D7" s="126" t="s">
        <v>102</v>
      </c>
    </row>
    <row r="8" spans="1:4" x14ac:dyDescent="0.25">
      <c r="B8" s="122" t="s">
        <v>256</v>
      </c>
      <c r="C8" s="122"/>
      <c r="D8" s="122"/>
    </row>
    <row r="9" spans="1:4" ht="30" x14ac:dyDescent="0.25">
      <c r="B9" s="125" t="s">
        <v>149</v>
      </c>
      <c r="C9" s="157">
        <v>4500</v>
      </c>
      <c r="D9" s="145" t="s">
        <v>154</v>
      </c>
    </row>
    <row r="10" spans="1:4" x14ac:dyDescent="0.25">
      <c r="B10" s="125" t="s">
        <v>151</v>
      </c>
      <c r="C10" s="158">
        <v>1.06</v>
      </c>
      <c r="D10" s="145" t="s">
        <v>216</v>
      </c>
    </row>
    <row r="11" spans="1:4" x14ac:dyDescent="0.25">
      <c r="B11" s="125" t="s">
        <v>152</v>
      </c>
      <c r="C11" s="157">
        <v>12</v>
      </c>
      <c r="D11" s="145" t="s">
        <v>217</v>
      </c>
    </row>
    <row r="12" spans="1:4" x14ac:dyDescent="0.25">
      <c r="B12" s="125" t="s">
        <v>153</v>
      </c>
      <c r="C12" s="159">
        <f>20-5</f>
        <v>15</v>
      </c>
      <c r="D12" s="126" t="s">
        <v>150</v>
      </c>
    </row>
    <row r="13" spans="1:4" x14ac:dyDescent="0.25">
      <c r="B13" s="122" t="s">
        <v>88</v>
      </c>
      <c r="C13" s="122"/>
      <c r="D13" s="122"/>
    </row>
    <row r="14" spans="1:4" x14ac:dyDescent="0.25">
      <c r="B14" s="125" t="s">
        <v>207</v>
      </c>
      <c r="C14" s="158" t="s">
        <v>196</v>
      </c>
      <c r="D14" s="126" t="s">
        <v>195</v>
      </c>
    </row>
    <row r="15" spans="1:4" x14ac:dyDescent="0.25">
      <c r="B15" s="122" t="s">
        <v>89</v>
      </c>
      <c r="C15" s="122"/>
      <c r="D15" s="122"/>
    </row>
    <row r="16" spans="1:4" x14ac:dyDescent="0.25">
      <c r="B16" s="125" t="s">
        <v>206</v>
      </c>
      <c r="C16" s="164">
        <v>120</v>
      </c>
      <c r="D16" s="147" t="s">
        <v>262</v>
      </c>
    </row>
    <row r="17" spans="2:4" s="145" customFormat="1" x14ac:dyDescent="0.25">
      <c r="B17" s="125" t="s">
        <v>90</v>
      </c>
      <c r="C17" s="164">
        <v>5</v>
      </c>
      <c r="D17" s="147" t="s">
        <v>261</v>
      </c>
    </row>
    <row r="18" spans="2:4" s="145" customFormat="1" x14ac:dyDescent="0.25">
      <c r="B18" s="122" t="s">
        <v>91</v>
      </c>
      <c r="C18" s="122"/>
      <c r="D18" s="122"/>
    </row>
    <row r="19" spans="2:4" s="145" customFormat="1" x14ac:dyDescent="0.25">
      <c r="B19" s="146" t="s">
        <v>192</v>
      </c>
      <c r="C19" s="164">
        <v>10</v>
      </c>
      <c r="D19" s="126" t="s">
        <v>264</v>
      </c>
    </row>
    <row r="20" spans="2:4" s="145" customFormat="1" x14ac:dyDescent="0.25">
      <c r="C20" s="163"/>
    </row>
    <row r="21" spans="2:4" s="145" customFormat="1" x14ac:dyDescent="0.25">
      <c r="C21" s="163"/>
    </row>
    <row r="22" spans="2:4" s="145" customFormat="1" x14ac:dyDescent="0.25">
      <c r="C22" s="148"/>
    </row>
    <row r="23" spans="2:4" s="145" customFormat="1" x14ac:dyDescent="0.25">
      <c r="C23" s="148"/>
    </row>
    <row r="24" spans="2:4" x14ac:dyDescent="0.25">
      <c r="B24" s="149" t="s">
        <v>193</v>
      </c>
      <c r="C24" s="150" t="s">
        <v>93</v>
      </c>
      <c r="D24" s="149" t="s">
        <v>86</v>
      </c>
    </row>
    <row r="25" spans="2:4" x14ac:dyDescent="0.25">
      <c r="B25" s="129" t="s">
        <v>96</v>
      </c>
      <c r="C25" s="151">
        <v>15</v>
      </c>
      <c r="D25" s="129" t="s">
        <v>97</v>
      </c>
    </row>
    <row r="26" spans="2:4" x14ac:dyDescent="0.25">
      <c r="B26" s="129" t="s">
        <v>94</v>
      </c>
      <c r="C26" s="151">
        <v>120</v>
      </c>
      <c r="D26" s="129" t="s">
        <v>163</v>
      </c>
    </row>
    <row r="27" spans="2:4" x14ac:dyDescent="0.25">
      <c r="B27" s="129" t="s">
        <v>95</v>
      </c>
      <c r="C27" s="151">
        <v>120</v>
      </c>
      <c r="D27" s="129" t="s">
        <v>164</v>
      </c>
    </row>
    <row r="28" spans="2:4" x14ac:dyDescent="0.25">
      <c r="B28" s="129" t="s">
        <v>161</v>
      </c>
      <c r="C28" s="151">
        <v>135</v>
      </c>
      <c r="D28" s="129" t="s">
        <v>166</v>
      </c>
    </row>
    <row r="29" spans="2:4" x14ac:dyDescent="0.25">
      <c r="B29" s="129" t="s">
        <v>162</v>
      </c>
      <c r="C29" s="151">
        <v>165</v>
      </c>
      <c r="D29" s="129" t="s">
        <v>165</v>
      </c>
    </row>
    <row r="30" spans="2:4" s="145" customFormat="1" x14ac:dyDescent="0.25">
      <c r="B30" s="58"/>
      <c r="C30" s="160"/>
      <c r="D30" s="58"/>
    </row>
    <row r="32" spans="2:4" x14ac:dyDescent="0.25">
      <c r="B32" s="149" t="s">
        <v>204</v>
      </c>
      <c r="C32" s="150" t="s">
        <v>205</v>
      </c>
      <c r="D32" s="149" t="s">
        <v>86</v>
      </c>
    </row>
    <row r="33" spans="2:4" x14ac:dyDescent="0.25">
      <c r="B33" s="129" t="s">
        <v>203</v>
      </c>
      <c r="C33" s="161">
        <v>0.95</v>
      </c>
      <c r="D33" s="129" t="s">
        <v>195</v>
      </c>
    </row>
    <row r="34" spans="2:4" x14ac:dyDescent="0.25">
      <c r="B34" s="129" t="s">
        <v>196</v>
      </c>
      <c r="C34" s="161">
        <v>0.95</v>
      </c>
      <c r="D34" s="129" t="s">
        <v>195</v>
      </c>
    </row>
    <row r="35" spans="2:4" x14ac:dyDescent="0.25">
      <c r="B35" s="129" t="s">
        <v>202</v>
      </c>
      <c r="C35" s="161">
        <v>0.73</v>
      </c>
      <c r="D35" s="129" t="s">
        <v>195</v>
      </c>
    </row>
    <row r="36" spans="2:4" x14ac:dyDescent="0.25">
      <c r="B36" s="129" t="s">
        <v>198</v>
      </c>
      <c r="C36" s="161">
        <v>0.92</v>
      </c>
      <c r="D36" s="129" t="s">
        <v>195</v>
      </c>
    </row>
    <row r="37" spans="2:4" x14ac:dyDescent="0.25">
      <c r="B37" s="129" t="s">
        <v>199</v>
      </c>
      <c r="C37" s="161">
        <v>0.57999999999999996</v>
      </c>
      <c r="D37" s="129" t="s">
        <v>195</v>
      </c>
    </row>
    <row r="38" spans="2:4" x14ac:dyDescent="0.25">
      <c r="B38" s="129" t="s">
        <v>201</v>
      </c>
      <c r="C38" s="161">
        <v>0.17</v>
      </c>
      <c r="D38" s="129" t="s">
        <v>195</v>
      </c>
    </row>
    <row r="39" spans="2:4" x14ac:dyDescent="0.25">
      <c r="B39" s="129" t="s">
        <v>197</v>
      </c>
      <c r="C39" s="161">
        <v>1.18</v>
      </c>
      <c r="D39" s="129" t="s">
        <v>195</v>
      </c>
    </row>
    <row r="40" spans="2:4" x14ac:dyDescent="0.25">
      <c r="B40" s="129" t="s">
        <v>200</v>
      </c>
      <c r="C40" s="161">
        <v>0.76</v>
      </c>
      <c r="D40" s="129" t="s">
        <v>195</v>
      </c>
    </row>
  </sheetData>
  <sortState ref="B33:D40">
    <sortCondition ref="B33:B40"/>
  </sortState>
  <dataValidations count="2">
    <dataValidation type="list" allowBlank="1" showInputMessage="1" showErrorMessage="1" sqref="C16" xr:uid="{249C2343-1F71-40AF-8C46-7706CD49D7D1}">
      <formula1>$C$25:$C$29</formula1>
    </dataValidation>
    <dataValidation type="list" allowBlank="1" showInputMessage="1" showErrorMessage="1" sqref="C14" xr:uid="{44F9D645-7697-40DA-AE61-94401A9A2A66}">
      <formula1>$B$33:$B$40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64B7-46FA-452E-9AE0-050F3E987BC7}">
  <sheetPr>
    <tabColor rgb="FFFFC000"/>
  </sheetPr>
  <dimension ref="A1:AG39"/>
  <sheetViews>
    <sheetView topLeftCell="R1" zoomScaleNormal="100" workbookViewId="0">
      <selection activeCell="AH15" sqref="AH15"/>
    </sheetView>
  </sheetViews>
  <sheetFormatPr defaultRowHeight="15" x14ac:dyDescent="0.25"/>
  <cols>
    <col min="1" max="1" width="3.42578125" customWidth="1"/>
    <col min="2" max="2" width="38.28515625" customWidth="1"/>
    <col min="3" max="3" width="3.42578125" customWidth="1"/>
    <col min="4" max="4" width="34.5703125" customWidth="1"/>
    <col min="5" max="14" width="12.5703125" customWidth="1"/>
    <col min="15" max="15" width="3.42578125" customWidth="1"/>
    <col min="16" max="20" width="12.5703125" customWidth="1"/>
    <col min="21" max="21" width="3.42578125" customWidth="1"/>
    <col min="22" max="36" width="12.5703125" customWidth="1"/>
  </cols>
  <sheetData>
    <row r="1" spans="1:33" x14ac:dyDescent="0.2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row>
    <row r="2" spans="1:33" ht="28.5" x14ac:dyDescent="0.45">
      <c r="A2" s="213"/>
      <c r="B2" s="211" t="s">
        <v>194</v>
      </c>
      <c r="C2" s="211"/>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row>
    <row r="4" spans="1:33" s="166" customFormat="1" ht="23.25" x14ac:dyDescent="0.35">
      <c r="B4" s="167" t="s">
        <v>265</v>
      </c>
      <c r="C4" s="141"/>
      <c r="D4" s="238" t="s">
        <v>218</v>
      </c>
      <c r="E4" s="238"/>
      <c r="F4" s="238"/>
      <c r="G4" s="238"/>
      <c r="H4" s="238"/>
      <c r="I4" s="238"/>
      <c r="J4" s="238"/>
      <c r="K4" s="238"/>
      <c r="L4" s="238"/>
      <c r="M4" s="238"/>
      <c r="N4" s="238"/>
      <c r="O4" s="141"/>
      <c r="P4" s="239" t="s">
        <v>220</v>
      </c>
      <c r="Q4" s="239"/>
      <c r="R4" s="239"/>
      <c r="S4" s="239"/>
      <c r="T4" s="239"/>
      <c r="U4" s="141"/>
      <c r="V4" s="240" t="s">
        <v>219</v>
      </c>
      <c r="W4" s="240"/>
      <c r="X4" s="240"/>
      <c r="Y4" s="240"/>
      <c r="Z4" s="240"/>
      <c r="AA4" s="240"/>
      <c r="AB4" s="240"/>
      <c r="AC4" s="240"/>
      <c r="AD4" s="240"/>
      <c r="AE4" s="240"/>
      <c r="AF4" s="240"/>
      <c r="AG4" s="240"/>
    </row>
    <row r="5" spans="1:33" ht="150" x14ac:dyDescent="0.25">
      <c r="B5" s="133" t="s">
        <v>266</v>
      </c>
      <c r="C5" s="141"/>
      <c r="D5" s="133" t="s">
        <v>133</v>
      </c>
      <c r="E5" s="133" t="s">
        <v>134</v>
      </c>
      <c r="F5" s="133" t="s">
        <v>135</v>
      </c>
      <c r="G5" s="133" t="s">
        <v>140</v>
      </c>
      <c r="H5" s="133" t="s">
        <v>177</v>
      </c>
      <c r="I5" s="133" t="s">
        <v>178</v>
      </c>
      <c r="J5" s="133" t="s">
        <v>179</v>
      </c>
      <c r="K5" s="133" t="s">
        <v>180</v>
      </c>
      <c r="L5" s="133" t="s">
        <v>136</v>
      </c>
      <c r="M5" s="133" t="s">
        <v>181</v>
      </c>
      <c r="N5" s="133" t="s">
        <v>139</v>
      </c>
      <c r="O5" s="141"/>
      <c r="P5" s="133" t="s">
        <v>141</v>
      </c>
      <c r="Q5" s="133" t="s">
        <v>143</v>
      </c>
      <c r="R5" s="133" t="s">
        <v>142</v>
      </c>
      <c r="S5" s="133" t="s">
        <v>144</v>
      </c>
      <c r="T5" s="133" t="s">
        <v>148</v>
      </c>
      <c r="U5" s="141"/>
      <c r="V5" s="133" t="s">
        <v>138</v>
      </c>
      <c r="W5" s="133" t="s">
        <v>147</v>
      </c>
      <c r="X5" s="133" t="s">
        <v>145</v>
      </c>
      <c r="Y5" s="133" t="s">
        <v>182</v>
      </c>
      <c r="Z5" s="133" t="s">
        <v>183</v>
      </c>
      <c r="AA5" s="133" t="s">
        <v>184</v>
      </c>
      <c r="AB5" s="133" t="s">
        <v>185</v>
      </c>
      <c r="AC5" s="133" t="s">
        <v>187</v>
      </c>
      <c r="AD5" s="133" t="s">
        <v>158</v>
      </c>
      <c r="AE5" s="133" t="s">
        <v>167</v>
      </c>
      <c r="AF5" s="133" t="s">
        <v>159</v>
      </c>
      <c r="AG5" s="133" t="s">
        <v>160</v>
      </c>
    </row>
    <row r="6" spans="1:33" s="131" customFormat="1" ht="12" x14ac:dyDescent="0.2">
      <c r="B6" s="134" t="s">
        <v>267</v>
      </c>
      <c r="C6" s="142" t="s">
        <v>137</v>
      </c>
      <c r="D6" s="134" t="s">
        <v>129</v>
      </c>
      <c r="E6" s="134" t="s">
        <v>130</v>
      </c>
      <c r="F6" s="134" t="s">
        <v>131</v>
      </c>
      <c r="G6" s="134" t="s">
        <v>92</v>
      </c>
      <c r="H6" s="134" t="s">
        <v>92</v>
      </c>
      <c r="I6" s="134" t="s">
        <v>92</v>
      </c>
      <c r="J6" s="134" t="s">
        <v>270</v>
      </c>
      <c r="K6" s="134" t="s">
        <v>92</v>
      </c>
      <c r="L6" s="134" t="s">
        <v>271</v>
      </c>
      <c r="M6" s="134" t="s">
        <v>92</v>
      </c>
      <c r="N6" s="134" t="s">
        <v>92</v>
      </c>
      <c r="O6" s="142"/>
      <c r="P6" s="134" t="s">
        <v>273</v>
      </c>
      <c r="Q6" s="134" t="s">
        <v>92</v>
      </c>
      <c r="R6" s="134" t="s">
        <v>274</v>
      </c>
      <c r="S6" s="131" t="s">
        <v>92</v>
      </c>
      <c r="T6" s="131" t="s">
        <v>92</v>
      </c>
      <c r="U6" s="142" t="s">
        <v>137</v>
      </c>
      <c r="V6" s="134" t="s">
        <v>284</v>
      </c>
      <c r="W6" s="134" t="s">
        <v>286</v>
      </c>
      <c r="X6" s="134" t="s">
        <v>92</v>
      </c>
      <c r="Y6" s="134" t="s">
        <v>92</v>
      </c>
      <c r="Z6" s="134" t="s">
        <v>92</v>
      </c>
      <c r="AA6" s="134" t="s">
        <v>287</v>
      </c>
      <c r="AB6" s="134" t="s">
        <v>92</v>
      </c>
      <c r="AC6" s="134" t="s">
        <v>92</v>
      </c>
      <c r="AD6" s="134" t="s">
        <v>146</v>
      </c>
      <c r="AE6" s="134" t="s">
        <v>168</v>
      </c>
      <c r="AF6" s="134" t="s">
        <v>292</v>
      </c>
      <c r="AG6" s="134" t="s">
        <v>92</v>
      </c>
    </row>
    <row r="7" spans="1:33" x14ac:dyDescent="0.25">
      <c r="B7" s="128" t="s">
        <v>123</v>
      </c>
      <c r="C7" s="129"/>
      <c r="D7" s="128" t="s">
        <v>103</v>
      </c>
      <c r="E7" s="153">
        <v>100</v>
      </c>
      <c r="F7" s="128">
        <v>65</v>
      </c>
      <c r="G7" s="182">
        <f t="shared" ref="G7:G14" si="0">E7*F7*Operating_hours_per_year/1000</f>
        <v>28275</v>
      </c>
      <c r="H7" s="135">
        <f t="shared" ref="H7:H14" si="1">F7*Operating_hours_per_year*Total_Energy_Cost/1000</f>
        <v>56.55</v>
      </c>
      <c r="I7" s="135">
        <f>H7*E7</f>
        <v>5655</v>
      </c>
      <c r="J7" s="155">
        <v>50</v>
      </c>
      <c r="K7" s="144">
        <f>J7*E7</f>
        <v>5000</v>
      </c>
      <c r="L7" s="155">
        <v>20</v>
      </c>
      <c r="M7" s="144">
        <f>L7*E7</f>
        <v>2000</v>
      </c>
      <c r="N7" s="140">
        <f>(J7+L7+H7)*E7</f>
        <v>12655</v>
      </c>
      <c r="O7" s="129"/>
      <c r="P7" s="155">
        <v>100</v>
      </c>
      <c r="Q7" s="138">
        <f t="shared" ref="Q7:Q14" si="2">P7*E7</f>
        <v>10000</v>
      </c>
      <c r="R7" s="155">
        <v>100</v>
      </c>
      <c r="S7" s="138">
        <f t="shared" ref="S7:S14" si="3">R7*E7</f>
        <v>10000</v>
      </c>
      <c r="T7" s="135">
        <f t="shared" ref="T7:T14" si="4">(G7-X7)*Enviro_Certificate_Years*(Assumed_operating_hours_per_year_for_enviro_certificates/Operating_hours_per_year)*Enviro_Certificate_Conversion_Factor*Estimated_Net_Enviro_Certificate_Value/1000</f>
        <v>4121.2800000000007</v>
      </c>
      <c r="U7" s="129"/>
      <c r="V7" s="153">
        <f t="shared" ref="V7:V14" si="5">E7</f>
        <v>100</v>
      </c>
      <c r="W7" s="153">
        <v>17</v>
      </c>
      <c r="X7" s="182">
        <f t="shared" ref="X7:X14" si="6">V7*W7*Operating_hours_per_year/1000</f>
        <v>7395</v>
      </c>
      <c r="Y7" s="135">
        <f t="shared" ref="Y7:Y14" si="7">W7*Operating_hours_per_year*Total_Energy_Cost/1000</f>
        <v>14.79</v>
      </c>
      <c r="Z7" s="135">
        <f>Y7*V7</f>
        <v>1479</v>
      </c>
      <c r="AA7" s="155">
        <v>25</v>
      </c>
      <c r="AB7" s="144">
        <f>AA7*V7</f>
        <v>2500</v>
      </c>
      <c r="AC7" s="144">
        <f t="shared" ref="AC7:AC14" si="8">(Y7+AA7)*V7</f>
        <v>3979</v>
      </c>
      <c r="AD7" s="155">
        <v>220</v>
      </c>
      <c r="AE7" s="155">
        <f t="shared" ref="AE7:AE14" si="9">Controls_Cost</f>
        <v>120</v>
      </c>
      <c r="AF7" s="155">
        <v>125</v>
      </c>
      <c r="AG7" s="144">
        <f t="shared" ref="AG7:AG14" si="10">(AD7+AE7+AF7)*V7</f>
        <v>46500</v>
      </c>
    </row>
    <row r="8" spans="1:33" x14ac:dyDescent="0.25">
      <c r="B8" s="128" t="s">
        <v>123</v>
      </c>
      <c r="C8" s="129"/>
      <c r="D8" s="128" t="s">
        <v>104</v>
      </c>
      <c r="E8" s="153">
        <v>100</v>
      </c>
      <c r="F8" s="128">
        <v>95.8</v>
      </c>
      <c r="G8" s="182">
        <f t="shared" si="0"/>
        <v>41673</v>
      </c>
      <c r="H8" s="135">
        <f t="shared" si="1"/>
        <v>83.346000000000004</v>
      </c>
      <c r="I8" s="135">
        <f t="shared" ref="I8:I14" si="11">H8*E8</f>
        <v>8334.6</v>
      </c>
      <c r="J8" s="155">
        <v>50</v>
      </c>
      <c r="K8" s="144">
        <f t="shared" ref="K8:K14" si="12">J8*E8</f>
        <v>5000</v>
      </c>
      <c r="L8" s="155">
        <v>20</v>
      </c>
      <c r="M8" s="144">
        <f t="shared" ref="M8:M14" si="13">L8*E8</f>
        <v>2000</v>
      </c>
      <c r="N8" s="140">
        <f t="shared" ref="N8:N14" si="14">(J8+L8+H8)*E8</f>
        <v>15334.6</v>
      </c>
      <c r="O8" s="129"/>
      <c r="P8" s="155">
        <v>100</v>
      </c>
      <c r="Q8" s="138">
        <f t="shared" si="2"/>
        <v>10000</v>
      </c>
      <c r="R8" s="155">
        <v>100</v>
      </c>
      <c r="S8" s="138">
        <f t="shared" si="3"/>
        <v>10000</v>
      </c>
      <c r="T8" s="135">
        <f t="shared" si="4"/>
        <v>6765.768</v>
      </c>
      <c r="U8" s="129"/>
      <c r="V8" s="153">
        <f t="shared" si="5"/>
        <v>100</v>
      </c>
      <c r="W8" s="153">
        <v>17</v>
      </c>
      <c r="X8" s="182">
        <f t="shared" si="6"/>
        <v>7395</v>
      </c>
      <c r="Y8" s="135">
        <f t="shared" si="7"/>
        <v>14.79</v>
      </c>
      <c r="Z8" s="135">
        <f t="shared" ref="Z8:Z14" si="15">Y8*V8</f>
        <v>1479</v>
      </c>
      <c r="AA8" s="155">
        <v>25</v>
      </c>
      <c r="AB8" s="144">
        <f t="shared" ref="AB8:AB14" si="16">AA8*V8</f>
        <v>2500</v>
      </c>
      <c r="AC8" s="144">
        <f t="shared" si="8"/>
        <v>3979</v>
      </c>
      <c r="AD8" s="155">
        <v>220</v>
      </c>
      <c r="AE8" s="155">
        <f t="shared" si="9"/>
        <v>120</v>
      </c>
      <c r="AF8" s="155">
        <v>125</v>
      </c>
      <c r="AG8" s="144">
        <f t="shared" si="10"/>
        <v>46500</v>
      </c>
    </row>
    <row r="9" spans="1:33" x14ac:dyDescent="0.25">
      <c r="B9" s="128" t="s">
        <v>123</v>
      </c>
      <c r="C9" s="129"/>
      <c r="D9" s="128" t="s">
        <v>105</v>
      </c>
      <c r="E9" s="153">
        <v>100</v>
      </c>
      <c r="F9" s="128">
        <v>60</v>
      </c>
      <c r="G9" s="182">
        <f t="shared" si="0"/>
        <v>26100</v>
      </c>
      <c r="H9" s="135">
        <f t="shared" si="1"/>
        <v>52.2</v>
      </c>
      <c r="I9" s="135">
        <f t="shared" si="11"/>
        <v>5220</v>
      </c>
      <c r="J9" s="155">
        <v>50</v>
      </c>
      <c r="K9" s="144">
        <f t="shared" si="12"/>
        <v>5000</v>
      </c>
      <c r="L9" s="155">
        <v>20</v>
      </c>
      <c r="M9" s="144">
        <f t="shared" si="13"/>
        <v>2000</v>
      </c>
      <c r="N9" s="140">
        <f t="shared" si="14"/>
        <v>12220</v>
      </c>
      <c r="O9" s="129"/>
      <c r="P9" s="155">
        <v>100</v>
      </c>
      <c r="Q9" s="138">
        <f t="shared" si="2"/>
        <v>10000</v>
      </c>
      <c r="R9" s="155">
        <v>100</v>
      </c>
      <c r="S9" s="138">
        <f t="shared" si="3"/>
        <v>10000</v>
      </c>
      <c r="T9" s="135">
        <f t="shared" si="4"/>
        <v>3691.9800000000005</v>
      </c>
      <c r="U9" s="129"/>
      <c r="V9" s="153">
        <f t="shared" si="5"/>
        <v>100</v>
      </c>
      <c r="W9" s="153">
        <v>17</v>
      </c>
      <c r="X9" s="182">
        <f t="shared" si="6"/>
        <v>7395</v>
      </c>
      <c r="Y9" s="135">
        <f t="shared" si="7"/>
        <v>14.79</v>
      </c>
      <c r="Z9" s="135">
        <f t="shared" si="15"/>
        <v>1479</v>
      </c>
      <c r="AA9" s="155">
        <v>25</v>
      </c>
      <c r="AB9" s="144">
        <f t="shared" si="16"/>
        <v>2500</v>
      </c>
      <c r="AC9" s="144">
        <f t="shared" si="8"/>
        <v>3979</v>
      </c>
      <c r="AD9" s="155">
        <v>220</v>
      </c>
      <c r="AE9" s="155">
        <f t="shared" si="9"/>
        <v>120</v>
      </c>
      <c r="AF9" s="155">
        <v>125</v>
      </c>
      <c r="AG9" s="144">
        <f t="shared" si="10"/>
        <v>46500</v>
      </c>
    </row>
    <row r="10" spans="1:33" x14ac:dyDescent="0.25">
      <c r="B10" s="128" t="s">
        <v>123</v>
      </c>
      <c r="C10" s="129"/>
      <c r="D10" s="128" t="s">
        <v>106</v>
      </c>
      <c r="E10" s="153">
        <v>100</v>
      </c>
      <c r="F10" s="128">
        <v>86</v>
      </c>
      <c r="G10" s="182">
        <f t="shared" si="0"/>
        <v>37410</v>
      </c>
      <c r="H10" s="135">
        <f t="shared" si="1"/>
        <v>74.819999999999993</v>
      </c>
      <c r="I10" s="135">
        <f t="shared" si="11"/>
        <v>7481.9999999999991</v>
      </c>
      <c r="J10" s="155">
        <v>50</v>
      </c>
      <c r="K10" s="144">
        <f t="shared" si="12"/>
        <v>5000</v>
      </c>
      <c r="L10" s="155">
        <v>20</v>
      </c>
      <c r="M10" s="144">
        <f t="shared" si="13"/>
        <v>2000</v>
      </c>
      <c r="N10" s="140">
        <f t="shared" si="14"/>
        <v>14482</v>
      </c>
      <c r="O10" s="129"/>
      <c r="P10" s="155">
        <v>100</v>
      </c>
      <c r="Q10" s="138">
        <f t="shared" si="2"/>
        <v>10000</v>
      </c>
      <c r="R10" s="155">
        <v>100</v>
      </c>
      <c r="S10" s="138">
        <f t="shared" si="3"/>
        <v>10000</v>
      </c>
      <c r="T10" s="135">
        <f t="shared" si="4"/>
        <v>5924.34</v>
      </c>
      <c r="U10" s="129"/>
      <c r="V10" s="153">
        <f t="shared" si="5"/>
        <v>100</v>
      </c>
      <c r="W10" s="153">
        <v>17</v>
      </c>
      <c r="X10" s="182">
        <f t="shared" si="6"/>
        <v>7395</v>
      </c>
      <c r="Y10" s="135">
        <f t="shared" si="7"/>
        <v>14.79</v>
      </c>
      <c r="Z10" s="135">
        <f t="shared" si="15"/>
        <v>1479</v>
      </c>
      <c r="AA10" s="155">
        <v>25</v>
      </c>
      <c r="AB10" s="144">
        <f t="shared" si="16"/>
        <v>2500</v>
      </c>
      <c r="AC10" s="144">
        <f t="shared" si="8"/>
        <v>3979</v>
      </c>
      <c r="AD10" s="155">
        <v>220</v>
      </c>
      <c r="AE10" s="155">
        <f t="shared" si="9"/>
        <v>120</v>
      </c>
      <c r="AF10" s="155">
        <v>125</v>
      </c>
      <c r="AG10" s="144">
        <f t="shared" si="10"/>
        <v>46500</v>
      </c>
    </row>
    <row r="11" spans="1:33" x14ac:dyDescent="0.25">
      <c r="B11" s="128" t="s">
        <v>123</v>
      </c>
      <c r="C11" s="129"/>
      <c r="D11" s="128" t="s">
        <v>107</v>
      </c>
      <c r="E11" s="153">
        <v>100</v>
      </c>
      <c r="F11" s="128">
        <v>36.6</v>
      </c>
      <c r="G11" s="182">
        <f t="shared" si="0"/>
        <v>15921</v>
      </c>
      <c r="H11" s="135">
        <f t="shared" si="1"/>
        <v>31.841999999999999</v>
      </c>
      <c r="I11" s="135">
        <f t="shared" si="11"/>
        <v>3184.2</v>
      </c>
      <c r="J11" s="155">
        <v>50</v>
      </c>
      <c r="K11" s="144">
        <f t="shared" si="12"/>
        <v>5000</v>
      </c>
      <c r="L11" s="155">
        <v>20</v>
      </c>
      <c r="M11" s="144">
        <f t="shared" si="13"/>
        <v>2000</v>
      </c>
      <c r="N11" s="140">
        <f t="shared" si="14"/>
        <v>10184.200000000001</v>
      </c>
      <c r="O11" s="129"/>
      <c r="P11" s="155">
        <v>100</v>
      </c>
      <c r="Q11" s="138">
        <f t="shared" si="2"/>
        <v>10000</v>
      </c>
      <c r="R11" s="155">
        <v>100</v>
      </c>
      <c r="S11" s="138">
        <f t="shared" si="3"/>
        <v>10000</v>
      </c>
      <c r="T11" s="135">
        <f t="shared" si="4"/>
        <v>1682.8560000000002</v>
      </c>
      <c r="U11" s="129"/>
      <c r="V11" s="153">
        <f t="shared" si="5"/>
        <v>100</v>
      </c>
      <c r="W11" s="153">
        <v>17</v>
      </c>
      <c r="X11" s="182">
        <f t="shared" si="6"/>
        <v>7395</v>
      </c>
      <c r="Y11" s="135">
        <f t="shared" si="7"/>
        <v>14.79</v>
      </c>
      <c r="Z11" s="135">
        <f t="shared" si="15"/>
        <v>1479</v>
      </c>
      <c r="AA11" s="155">
        <v>25</v>
      </c>
      <c r="AB11" s="144">
        <f t="shared" si="16"/>
        <v>2500</v>
      </c>
      <c r="AC11" s="144">
        <f t="shared" si="8"/>
        <v>3979</v>
      </c>
      <c r="AD11" s="155">
        <v>220</v>
      </c>
      <c r="AE11" s="155">
        <f t="shared" si="9"/>
        <v>120</v>
      </c>
      <c r="AF11" s="155">
        <v>125</v>
      </c>
      <c r="AG11" s="144">
        <f t="shared" si="10"/>
        <v>46500</v>
      </c>
    </row>
    <row r="12" spans="1:33" x14ac:dyDescent="0.25">
      <c r="B12" s="128" t="s">
        <v>123</v>
      </c>
      <c r="C12" s="129"/>
      <c r="D12" s="128" t="s">
        <v>108</v>
      </c>
      <c r="E12" s="153">
        <v>100</v>
      </c>
      <c r="F12" s="128">
        <v>46.4</v>
      </c>
      <c r="G12" s="182">
        <f t="shared" si="0"/>
        <v>20184</v>
      </c>
      <c r="H12" s="135">
        <f t="shared" si="1"/>
        <v>40.368000000000002</v>
      </c>
      <c r="I12" s="135">
        <f t="shared" si="11"/>
        <v>4036.8</v>
      </c>
      <c r="J12" s="155">
        <v>50</v>
      </c>
      <c r="K12" s="144">
        <f t="shared" si="12"/>
        <v>5000</v>
      </c>
      <c r="L12" s="155">
        <v>20</v>
      </c>
      <c r="M12" s="144">
        <f t="shared" si="13"/>
        <v>2000</v>
      </c>
      <c r="N12" s="140">
        <f t="shared" si="14"/>
        <v>11036.8</v>
      </c>
      <c r="O12" s="129"/>
      <c r="P12" s="155">
        <v>100</v>
      </c>
      <c r="Q12" s="138">
        <f t="shared" si="2"/>
        <v>10000</v>
      </c>
      <c r="R12" s="155">
        <v>100</v>
      </c>
      <c r="S12" s="138">
        <f t="shared" si="3"/>
        <v>10000</v>
      </c>
      <c r="T12" s="135">
        <f t="shared" si="4"/>
        <v>2524.2840000000001</v>
      </c>
      <c r="U12" s="129"/>
      <c r="V12" s="153">
        <f t="shared" si="5"/>
        <v>100</v>
      </c>
      <c r="W12" s="153">
        <v>17</v>
      </c>
      <c r="X12" s="182">
        <f t="shared" si="6"/>
        <v>7395</v>
      </c>
      <c r="Y12" s="135">
        <f t="shared" si="7"/>
        <v>14.79</v>
      </c>
      <c r="Z12" s="135">
        <f t="shared" si="15"/>
        <v>1479</v>
      </c>
      <c r="AA12" s="155">
        <v>25</v>
      </c>
      <c r="AB12" s="144">
        <f t="shared" si="16"/>
        <v>2500</v>
      </c>
      <c r="AC12" s="144">
        <f t="shared" si="8"/>
        <v>3979</v>
      </c>
      <c r="AD12" s="155">
        <v>220</v>
      </c>
      <c r="AE12" s="155">
        <f t="shared" si="9"/>
        <v>120</v>
      </c>
      <c r="AF12" s="155">
        <v>125</v>
      </c>
      <c r="AG12" s="144">
        <f t="shared" si="10"/>
        <v>46500</v>
      </c>
    </row>
    <row r="13" spans="1:33" x14ac:dyDescent="0.25">
      <c r="B13" s="128" t="s">
        <v>123</v>
      </c>
      <c r="C13" s="129"/>
      <c r="D13" s="128" t="s">
        <v>109</v>
      </c>
      <c r="E13" s="153">
        <v>100</v>
      </c>
      <c r="F13" s="128">
        <v>50</v>
      </c>
      <c r="G13" s="182">
        <f t="shared" si="0"/>
        <v>21750</v>
      </c>
      <c r="H13" s="135">
        <f t="shared" si="1"/>
        <v>43.5</v>
      </c>
      <c r="I13" s="135">
        <f t="shared" si="11"/>
        <v>4350</v>
      </c>
      <c r="J13" s="155">
        <v>50</v>
      </c>
      <c r="K13" s="144">
        <f t="shared" si="12"/>
        <v>5000</v>
      </c>
      <c r="L13" s="155">
        <v>20</v>
      </c>
      <c r="M13" s="144">
        <f t="shared" si="13"/>
        <v>2000</v>
      </c>
      <c r="N13" s="140">
        <f t="shared" si="14"/>
        <v>11350</v>
      </c>
      <c r="O13" s="129"/>
      <c r="P13" s="155">
        <v>100</v>
      </c>
      <c r="Q13" s="138">
        <f t="shared" si="2"/>
        <v>10000</v>
      </c>
      <c r="R13" s="155">
        <v>100</v>
      </c>
      <c r="S13" s="138">
        <f t="shared" si="3"/>
        <v>10000</v>
      </c>
      <c r="T13" s="135">
        <f t="shared" si="4"/>
        <v>2833.38</v>
      </c>
      <c r="U13" s="129"/>
      <c r="V13" s="153">
        <f t="shared" si="5"/>
        <v>100</v>
      </c>
      <c r="W13" s="153">
        <v>17</v>
      </c>
      <c r="X13" s="182">
        <f t="shared" si="6"/>
        <v>7395</v>
      </c>
      <c r="Y13" s="135">
        <f t="shared" si="7"/>
        <v>14.79</v>
      </c>
      <c r="Z13" s="135">
        <f t="shared" si="15"/>
        <v>1479</v>
      </c>
      <c r="AA13" s="155">
        <v>25</v>
      </c>
      <c r="AB13" s="144">
        <f t="shared" si="16"/>
        <v>2500</v>
      </c>
      <c r="AC13" s="144">
        <f t="shared" si="8"/>
        <v>3979</v>
      </c>
      <c r="AD13" s="155">
        <v>220</v>
      </c>
      <c r="AE13" s="155">
        <f t="shared" si="9"/>
        <v>120</v>
      </c>
      <c r="AF13" s="155">
        <v>125</v>
      </c>
      <c r="AG13" s="144">
        <f t="shared" si="10"/>
        <v>46500</v>
      </c>
    </row>
    <row r="14" spans="1:33" x14ac:dyDescent="0.25">
      <c r="B14" s="128" t="s">
        <v>123</v>
      </c>
      <c r="C14" s="129"/>
      <c r="D14" s="128" t="s">
        <v>110</v>
      </c>
      <c r="E14" s="153">
        <v>100</v>
      </c>
      <c r="F14" s="128">
        <v>50</v>
      </c>
      <c r="G14" s="182">
        <f t="shared" si="0"/>
        <v>21750</v>
      </c>
      <c r="H14" s="135">
        <f t="shared" si="1"/>
        <v>43.5</v>
      </c>
      <c r="I14" s="135">
        <f t="shared" si="11"/>
        <v>4350</v>
      </c>
      <c r="J14" s="155">
        <v>50</v>
      </c>
      <c r="K14" s="144">
        <f t="shared" si="12"/>
        <v>5000</v>
      </c>
      <c r="L14" s="155">
        <v>20</v>
      </c>
      <c r="M14" s="144">
        <f t="shared" si="13"/>
        <v>2000</v>
      </c>
      <c r="N14" s="140">
        <f t="shared" si="14"/>
        <v>11350</v>
      </c>
      <c r="O14" s="129"/>
      <c r="P14" s="155">
        <v>100</v>
      </c>
      <c r="Q14" s="138">
        <f t="shared" si="2"/>
        <v>10000</v>
      </c>
      <c r="R14" s="155">
        <v>100</v>
      </c>
      <c r="S14" s="138">
        <f t="shared" si="3"/>
        <v>10000</v>
      </c>
      <c r="T14" s="135">
        <f t="shared" si="4"/>
        <v>2833.38</v>
      </c>
      <c r="U14" s="129"/>
      <c r="V14" s="153">
        <f t="shared" si="5"/>
        <v>100</v>
      </c>
      <c r="W14" s="153">
        <v>17</v>
      </c>
      <c r="X14" s="182">
        <f t="shared" si="6"/>
        <v>7395</v>
      </c>
      <c r="Y14" s="135">
        <f t="shared" si="7"/>
        <v>14.79</v>
      </c>
      <c r="Z14" s="135">
        <f t="shared" si="15"/>
        <v>1479</v>
      </c>
      <c r="AA14" s="155">
        <v>25</v>
      </c>
      <c r="AB14" s="144">
        <f t="shared" si="16"/>
        <v>2500</v>
      </c>
      <c r="AC14" s="144">
        <f t="shared" si="8"/>
        <v>3979</v>
      </c>
      <c r="AD14" s="155">
        <v>220</v>
      </c>
      <c r="AE14" s="155">
        <f t="shared" si="9"/>
        <v>120</v>
      </c>
      <c r="AF14" s="155">
        <v>125</v>
      </c>
      <c r="AG14" s="144">
        <f t="shared" si="10"/>
        <v>46500</v>
      </c>
    </row>
    <row r="15" spans="1:33" x14ac:dyDescent="0.25">
      <c r="B15" s="128"/>
      <c r="C15" s="129"/>
      <c r="D15" s="128"/>
      <c r="E15" s="128"/>
      <c r="F15" s="128"/>
      <c r="G15" s="182"/>
      <c r="H15" s="128"/>
      <c r="I15" s="128"/>
      <c r="J15" s="128"/>
      <c r="K15" s="128"/>
      <c r="L15" s="128"/>
      <c r="M15" s="128"/>
      <c r="N15" s="130"/>
      <c r="O15" s="129"/>
      <c r="P15" s="128"/>
      <c r="Q15" s="128"/>
      <c r="R15" s="128"/>
      <c r="S15" s="128"/>
      <c r="T15" s="128"/>
      <c r="U15" s="129"/>
      <c r="V15" s="128"/>
      <c r="W15" s="128"/>
      <c r="X15" s="182"/>
      <c r="Y15" s="128"/>
      <c r="Z15" s="128"/>
      <c r="AA15" s="139"/>
      <c r="AB15" s="139"/>
      <c r="AC15" s="139"/>
      <c r="AD15" s="139"/>
      <c r="AE15" s="139"/>
      <c r="AF15" s="139"/>
      <c r="AG15" s="139"/>
    </row>
    <row r="16" spans="1:33" x14ac:dyDescent="0.25">
      <c r="B16" s="128" t="s">
        <v>124</v>
      </c>
      <c r="C16" s="129"/>
      <c r="D16" s="128" t="s">
        <v>111</v>
      </c>
      <c r="E16" s="153">
        <v>100</v>
      </c>
      <c r="F16" s="128">
        <v>81.5</v>
      </c>
      <c r="G16" s="182">
        <f>E16*F16*Operating_hours_per_year/1000</f>
        <v>35452.5</v>
      </c>
      <c r="H16" s="135">
        <f>F16*Operating_hours_per_year*Total_Energy_Cost/1000</f>
        <v>70.905000000000001</v>
      </c>
      <c r="I16" s="135">
        <f t="shared" ref="I16:I17" si="17">H16*E16</f>
        <v>7090.5</v>
      </c>
      <c r="J16" s="155">
        <v>50</v>
      </c>
      <c r="K16" s="144">
        <f t="shared" ref="K16:K17" si="18">J16*E16</f>
        <v>5000</v>
      </c>
      <c r="L16" s="155">
        <v>20</v>
      </c>
      <c r="M16" s="144">
        <f t="shared" ref="M16:M17" si="19">L16*E16</f>
        <v>2000</v>
      </c>
      <c r="N16" s="140">
        <f>(J16+L16+H16)*E16</f>
        <v>14090.5</v>
      </c>
      <c r="O16" s="129"/>
      <c r="P16" s="155">
        <v>100</v>
      </c>
      <c r="Q16" s="138">
        <f>P16*E16</f>
        <v>10000</v>
      </c>
      <c r="R16" s="155">
        <v>100</v>
      </c>
      <c r="S16" s="138">
        <f>R16*E16</f>
        <v>10000</v>
      </c>
      <c r="T16" s="135">
        <f>(G16-X16)*Enviro_Certificate_Years*(Assumed_operating_hours_per_year_for_enviro_certificates/Operating_hours_per_year)*Enviro_Certificate_Conversion_Factor*Estimated_Net_Enviro_Certificate_Value/1000</f>
        <v>4593.51</v>
      </c>
      <c r="U16" s="129"/>
      <c r="V16" s="153">
        <f>E16</f>
        <v>100</v>
      </c>
      <c r="W16" s="153">
        <v>28</v>
      </c>
      <c r="X16" s="182">
        <f>V16*W16*Operating_hours_per_year/1000</f>
        <v>12180</v>
      </c>
      <c r="Y16" s="135">
        <f>W16*Operating_hours_per_year*Total_Energy_Cost/1000</f>
        <v>24.36</v>
      </c>
      <c r="Z16" s="135">
        <f t="shared" ref="Z16:Z17" si="20">Y16*V16</f>
        <v>2436</v>
      </c>
      <c r="AA16" s="155">
        <v>25</v>
      </c>
      <c r="AB16" s="144">
        <f t="shared" ref="AB16:AB17" si="21">AA16*V16</f>
        <v>2500</v>
      </c>
      <c r="AC16" s="144">
        <f>(Y16+AA16)*V16</f>
        <v>4936</v>
      </c>
      <c r="AD16" s="155">
        <v>250</v>
      </c>
      <c r="AE16" s="155">
        <f>Controls_Cost</f>
        <v>120</v>
      </c>
      <c r="AF16" s="155">
        <v>125</v>
      </c>
      <c r="AG16" s="144">
        <f>(AD16+AE16+AF16)*V16</f>
        <v>49500</v>
      </c>
    </row>
    <row r="17" spans="2:33" x14ac:dyDescent="0.25">
      <c r="B17" s="128" t="s">
        <v>124</v>
      </c>
      <c r="C17" s="129"/>
      <c r="D17" s="128" t="s">
        <v>112</v>
      </c>
      <c r="E17" s="153">
        <v>100</v>
      </c>
      <c r="F17" s="128">
        <v>142</v>
      </c>
      <c r="G17" s="182">
        <f>E17*F17*Operating_hours_per_year/1000</f>
        <v>61770</v>
      </c>
      <c r="H17" s="135">
        <f>F17*Operating_hours_per_year*Total_Energy_Cost/1000</f>
        <v>123.54</v>
      </c>
      <c r="I17" s="135">
        <f t="shared" si="17"/>
        <v>12354</v>
      </c>
      <c r="J17" s="155">
        <v>50</v>
      </c>
      <c r="K17" s="144">
        <f t="shared" si="18"/>
        <v>5000</v>
      </c>
      <c r="L17" s="155">
        <v>20</v>
      </c>
      <c r="M17" s="144">
        <f t="shared" si="19"/>
        <v>2000</v>
      </c>
      <c r="N17" s="140">
        <f>(J17+L17+H17)*E17</f>
        <v>19354.000000000004</v>
      </c>
      <c r="O17" s="129"/>
      <c r="P17" s="155">
        <v>100</v>
      </c>
      <c r="Q17" s="138">
        <f>P17*E17</f>
        <v>10000</v>
      </c>
      <c r="R17" s="155">
        <v>100</v>
      </c>
      <c r="S17" s="138">
        <f>R17*E17</f>
        <v>10000</v>
      </c>
      <c r="T17" s="135">
        <f>(G17-X17)*Enviro_Certificate_Years*(Assumed_operating_hours_per_year_for_enviro_certificates/Operating_hours_per_year)*Enviro_Certificate_Conversion_Factor*Estimated_Net_Enviro_Certificate_Value/1000</f>
        <v>9788.0400000000009</v>
      </c>
      <c r="U17" s="129"/>
      <c r="V17" s="153">
        <f>E17</f>
        <v>100</v>
      </c>
      <c r="W17" s="153">
        <v>28</v>
      </c>
      <c r="X17" s="182">
        <f>V17*W17*Operating_hours_per_year/1000</f>
        <v>12180</v>
      </c>
      <c r="Y17" s="135">
        <f>W17*Operating_hours_per_year*Total_Energy_Cost/1000</f>
        <v>24.36</v>
      </c>
      <c r="Z17" s="135">
        <f t="shared" si="20"/>
        <v>2436</v>
      </c>
      <c r="AA17" s="155">
        <v>25</v>
      </c>
      <c r="AB17" s="144">
        <f t="shared" si="21"/>
        <v>2500</v>
      </c>
      <c r="AC17" s="144">
        <f>(Y17+AA17)*V17</f>
        <v>4936</v>
      </c>
      <c r="AD17" s="155">
        <v>250</v>
      </c>
      <c r="AE17" s="155">
        <f>Controls_Cost</f>
        <v>120</v>
      </c>
      <c r="AF17" s="155">
        <v>125</v>
      </c>
      <c r="AG17" s="144">
        <f>(AD17+AE17+AF17)*V17</f>
        <v>49500</v>
      </c>
    </row>
    <row r="18" spans="2:33" x14ac:dyDescent="0.25">
      <c r="B18" s="128"/>
      <c r="C18" s="129"/>
      <c r="D18" s="128"/>
      <c r="E18" s="128"/>
      <c r="F18" s="128"/>
      <c r="G18" s="182"/>
      <c r="H18" s="128"/>
      <c r="I18" s="128"/>
      <c r="J18" s="128"/>
      <c r="K18" s="128"/>
      <c r="L18" s="128"/>
      <c r="M18" s="128"/>
      <c r="N18" s="130"/>
      <c r="O18" s="129"/>
      <c r="P18" s="128"/>
      <c r="Q18" s="128"/>
      <c r="R18" s="128"/>
      <c r="S18" s="128"/>
      <c r="T18" s="128"/>
      <c r="U18" s="129"/>
      <c r="V18" s="128"/>
      <c r="W18" s="128"/>
      <c r="X18" s="182"/>
      <c r="Y18" s="128"/>
      <c r="Z18" s="128"/>
      <c r="AA18" s="139"/>
      <c r="AB18" s="139"/>
      <c r="AC18" s="139"/>
      <c r="AD18" s="139"/>
      <c r="AE18" s="139"/>
      <c r="AF18" s="139"/>
      <c r="AG18" s="139"/>
    </row>
    <row r="19" spans="2:33" x14ac:dyDescent="0.25">
      <c r="B19" s="128" t="s">
        <v>125</v>
      </c>
      <c r="C19" s="129"/>
      <c r="D19" s="128" t="s">
        <v>113</v>
      </c>
      <c r="E19" s="153">
        <v>100</v>
      </c>
      <c r="F19" s="128">
        <v>120</v>
      </c>
      <c r="G19" s="182">
        <f>E19*F19*Operating_hours_per_year/1000</f>
        <v>52200</v>
      </c>
      <c r="H19" s="135">
        <f>F19*Operating_hours_per_year*Total_Energy_Cost/1000</f>
        <v>104.4</v>
      </c>
      <c r="I19" s="135">
        <f t="shared" ref="I19:I20" si="22">H19*E19</f>
        <v>10440</v>
      </c>
      <c r="J19" s="155">
        <v>70</v>
      </c>
      <c r="K19" s="144">
        <f t="shared" ref="K19:K20" si="23">J19*E19</f>
        <v>7000</v>
      </c>
      <c r="L19" s="155">
        <v>40</v>
      </c>
      <c r="M19" s="144">
        <f t="shared" ref="M19:M20" si="24">L19*E19</f>
        <v>4000</v>
      </c>
      <c r="N19" s="140">
        <f>(J19+L19+H19)*E19</f>
        <v>21440</v>
      </c>
      <c r="O19" s="129"/>
      <c r="P19" s="155">
        <v>100</v>
      </c>
      <c r="Q19" s="138">
        <f>P19*E19</f>
        <v>10000</v>
      </c>
      <c r="R19" s="155">
        <v>100</v>
      </c>
      <c r="S19" s="138">
        <f>R19*E19</f>
        <v>10000</v>
      </c>
      <c r="T19" s="135">
        <f>(G19-X19)*Enviro_Certificate_Years*(Assumed_operating_hours_per_year_for_enviro_certificates/Operating_hours_per_year)*Enviro_Certificate_Conversion_Factor*Estimated_Net_Enviro_Certificate_Value/1000</f>
        <v>6697.08</v>
      </c>
      <c r="U19" s="129"/>
      <c r="V19" s="153">
        <f>E19</f>
        <v>100</v>
      </c>
      <c r="W19" s="153">
        <v>42</v>
      </c>
      <c r="X19" s="182">
        <f>V19*W19*Operating_hours_per_year/1000</f>
        <v>18270</v>
      </c>
      <c r="Y19" s="135">
        <f>W19*Operating_hours_per_year*Total_Energy_Cost/1000</f>
        <v>36.54</v>
      </c>
      <c r="Z19" s="135">
        <f t="shared" ref="Z19:Z20" si="25">Y19*V19</f>
        <v>3654</v>
      </c>
      <c r="AA19" s="155">
        <v>45</v>
      </c>
      <c r="AB19" s="144">
        <f t="shared" ref="AB19:AB20" si="26">AA19*V19</f>
        <v>4500</v>
      </c>
      <c r="AC19" s="144">
        <f>(Y19+AA19)*V19</f>
        <v>8153.9999999999991</v>
      </c>
      <c r="AD19" s="155">
        <v>300</v>
      </c>
      <c r="AE19" s="155">
        <f>Controls_Cost</f>
        <v>120</v>
      </c>
      <c r="AF19" s="155">
        <v>200</v>
      </c>
      <c r="AG19" s="144">
        <f>(AD19+AE19+AF19)*V19</f>
        <v>62000</v>
      </c>
    </row>
    <row r="20" spans="2:33" x14ac:dyDescent="0.25">
      <c r="B20" s="128" t="s">
        <v>125</v>
      </c>
      <c r="C20" s="129"/>
      <c r="D20" s="128" t="s">
        <v>114</v>
      </c>
      <c r="E20" s="153">
        <v>100</v>
      </c>
      <c r="F20" s="128">
        <v>110</v>
      </c>
      <c r="G20" s="182">
        <f>E20*F20*Operating_hours_per_year/1000</f>
        <v>47850</v>
      </c>
      <c r="H20" s="135">
        <f>F20*Operating_hours_per_year*Total_Energy_Cost/1000</f>
        <v>95.7</v>
      </c>
      <c r="I20" s="135">
        <f t="shared" si="22"/>
        <v>9570</v>
      </c>
      <c r="J20" s="155">
        <v>70</v>
      </c>
      <c r="K20" s="144">
        <f t="shared" si="23"/>
        <v>7000</v>
      </c>
      <c r="L20" s="155">
        <v>40</v>
      </c>
      <c r="M20" s="144">
        <f t="shared" si="24"/>
        <v>4000</v>
      </c>
      <c r="N20" s="140">
        <f>(J20+L20+H20)*E20</f>
        <v>20570</v>
      </c>
      <c r="O20" s="129"/>
      <c r="P20" s="155">
        <v>100</v>
      </c>
      <c r="Q20" s="138">
        <f>P20*E20</f>
        <v>10000</v>
      </c>
      <c r="R20" s="155">
        <v>100</v>
      </c>
      <c r="S20" s="138">
        <f>R20*E20</f>
        <v>10000</v>
      </c>
      <c r="T20" s="135">
        <f>(G20-X20)*Enviro_Certificate_Years*(Assumed_operating_hours_per_year_for_enviro_certificates/Operating_hours_per_year)*Enviro_Certificate_Conversion_Factor*Estimated_Net_Enviro_Certificate_Value/1000</f>
        <v>5838.48</v>
      </c>
      <c r="U20" s="129"/>
      <c r="V20" s="153">
        <f>E20</f>
        <v>100</v>
      </c>
      <c r="W20" s="153">
        <v>42</v>
      </c>
      <c r="X20" s="182">
        <f>V20*W20*Operating_hours_per_year/1000</f>
        <v>18270</v>
      </c>
      <c r="Y20" s="135">
        <f>W20*Operating_hours_per_year*Total_Energy_Cost/1000</f>
        <v>36.54</v>
      </c>
      <c r="Z20" s="135">
        <f t="shared" si="25"/>
        <v>3654</v>
      </c>
      <c r="AA20" s="155">
        <v>45</v>
      </c>
      <c r="AB20" s="144">
        <f t="shared" si="26"/>
        <v>4500</v>
      </c>
      <c r="AC20" s="144">
        <f>(Y20+AA20)*V20</f>
        <v>8153.9999999999991</v>
      </c>
      <c r="AD20" s="155">
        <v>300</v>
      </c>
      <c r="AE20" s="155">
        <f>Controls_Cost</f>
        <v>120</v>
      </c>
      <c r="AF20" s="155">
        <v>200</v>
      </c>
      <c r="AG20" s="144">
        <f>(AD20+AE20+AF20)*V20</f>
        <v>62000</v>
      </c>
    </row>
    <row r="21" spans="2:33" x14ac:dyDescent="0.25">
      <c r="B21" s="128"/>
      <c r="C21" s="129"/>
      <c r="D21" s="128"/>
      <c r="E21" s="128"/>
      <c r="F21" s="128"/>
      <c r="G21" s="182"/>
      <c r="H21" s="128"/>
      <c r="I21" s="128"/>
      <c r="J21" s="128"/>
      <c r="K21" s="128"/>
      <c r="L21" s="128"/>
      <c r="M21" s="128"/>
      <c r="N21" s="130"/>
      <c r="O21" s="129"/>
      <c r="P21" s="128"/>
      <c r="Q21" s="128"/>
      <c r="R21" s="128"/>
      <c r="S21" s="128"/>
      <c r="T21" s="128"/>
      <c r="U21" s="129"/>
      <c r="V21" s="128"/>
      <c r="W21" s="128"/>
      <c r="X21" s="182"/>
      <c r="Y21" s="128"/>
      <c r="Z21" s="128"/>
      <c r="AA21" s="139"/>
      <c r="AB21" s="139"/>
      <c r="AC21" s="139"/>
      <c r="AD21" s="139"/>
      <c r="AE21" s="139"/>
      <c r="AF21" s="139"/>
      <c r="AG21" s="139"/>
    </row>
    <row r="22" spans="2:33" x14ac:dyDescent="0.25">
      <c r="B22" s="128" t="s">
        <v>127</v>
      </c>
      <c r="C22" s="129"/>
      <c r="D22" s="128" t="s">
        <v>115</v>
      </c>
      <c r="E22" s="153">
        <v>100</v>
      </c>
      <c r="F22" s="128">
        <v>270</v>
      </c>
      <c r="G22" s="182">
        <f>E22*F22*Operating_hours_per_year/1000</f>
        <v>117450</v>
      </c>
      <c r="H22" s="135">
        <f>F22*Operating_hours_per_year*Total_Energy_Cost/1000</f>
        <v>234.9</v>
      </c>
      <c r="I22" s="135">
        <f t="shared" ref="I22:I24" si="27">H22*E22</f>
        <v>23490</v>
      </c>
      <c r="J22" s="155">
        <v>70</v>
      </c>
      <c r="K22" s="144">
        <f t="shared" ref="K22:K24" si="28">J22*E22</f>
        <v>7000</v>
      </c>
      <c r="L22" s="155">
        <v>40</v>
      </c>
      <c r="M22" s="144">
        <f t="shared" ref="M22:M24" si="29">L22*E22</f>
        <v>4000</v>
      </c>
      <c r="N22" s="140">
        <f>(J22+L22+H22)*E22</f>
        <v>34490</v>
      </c>
      <c r="O22" s="129"/>
      <c r="P22" s="155">
        <v>100</v>
      </c>
      <c r="Q22" s="138">
        <f>P22*E22</f>
        <v>10000</v>
      </c>
      <c r="R22" s="155">
        <v>100</v>
      </c>
      <c r="S22" s="138">
        <f>R22*E22</f>
        <v>10000</v>
      </c>
      <c r="T22" s="135">
        <f>(G22-X22)*Enviro_Certificate_Years*(Assumed_operating_hours_per_year_for_enviro_certificates/Operating_hours_per_year)*Enviro_Certificate_Conversion_Factor*Estimated_Net_Enviro_Certificate_Value/1000</f>
        <v>16313.400000000003</v>
      </c>
      <c r="U22" s="129"/>
      <c r="V22" s="153">
        <f>E22</f>
        <v>100</v>
      </c>
      <c r="W22" s="153">
        <v>80</v>
      </c>
      <c r="X22" s="182">
        <f>V22*W22*Operating_hours_per_year/1000</f>
        <v>34800</v>
      </c>
      <c r="Y22" s="135">
        <f>W22*Operating_hours_per_year*Total_Energy_Cost/1000</f>
        <v>69.599999999999994</v>
      </c>
      <c r="Z22" s="135">
        <f t="shared" ref="Z22:Z24" si="30">Y22*V22</f>
        <v>6959.9999999999991</v>
      </c>
      <c r="AA22" s="155">
        <v>45</v>
      </c>
      <c r="AB22" s="144">
        <f t="shared" ref="AB22:AB24" si="31">AA22*V22</f>
        <v>4500</v>
      </c>
      <c r="AC22" s="144">
        <f>(Y22+AA22)*V22</f>
        <v>11460</v>
      </c>
      <c r="AD22" s="155">
        <v>400</v>
      </c>
      <c r="AE22" s="155">
        <f>Controls_Cost</f>
        <v>120</v>
      </c>
      <c r="AF22" s="155">
        <v>200</v>
      </c>
      <c r="AG22" s="144">
        <f>(AD22+AE22+AF22)*V22</f>
        <v>72000</v>
      </c>
    </row>
    <row r="23" spans="2:33" x14ac:dyDescent="0.25">
      <c r="B23" s="128" t="s">
        <v>127</v>
      </c>
      <c r="C23" s="129"/>
      <c r="D23" s="128" t="s">
        <v>116</v>
      </c>
      <c r="E23" s="153">
        <v>100</v>
      </c>
      <c r="F23" s="128">
        <v>173</v>
      </c>
      <c r="G23" s="182">
        <f>E23*F23*Operating_hours_per_year/1000</f>
        <v>75255</v>
      </c>
      <c r="H23" s="135">
        <f>F23*Operating_hours_per_year*Total_Energy_Cost/1000</f>
        <v>150.51</v>
      </c>
      <c r="I23" s="135">
        <f t="shared" si="27"/>
        <v>15051</v>
      </c>
      <c r="J23" s="155">
        <v>70</v>
      </c>
      <c r="K23" s="144">
        <f t="shared" si="28"/>
        <v>7000</v>
      </c>
      <c r="L23" s="155">
        <v>40</v>
      </c>
      <c r="M23" s="144">
        <f t="shared" si="29"/>
        <v>4000</v>
      </c>
      <c r="N23" s="140">
        <f>(J23+L23+H23)*E23</f>
        <v>26051</v>
      </c>
      <c r="O23" s="129"/>
      <c r="P23" s="155">
        <v>100</v>
      </c>
      <c r="Q23" s="138">
        <f>P23*E23</f>
        <v>10000</v>
      </c>
      <c r="R23" s="155">
        <v>100</v>
      </c>
      <c r="S23" s="138">
        <f>R23*E23</f>
        <v>10000</v>
      </c>
      <c r="T23" s="135">
        <f>(G23-X23)*Enviro_Certificate_Years*(Assumed_operating_hours_per_year_for_enviro_certificates/Operating_hours_per_year)*Enviro_Certificate_Conversion_Factor*Estimated_Net_Enviro_Certificate_Value/1000</f>
        <v>7984.9800000000023</v>
      </c>
      <c r="U23" s="129"/>
      <c r="V23" s="153">
        <f>E23</f>
        <v>100</v>
      </c>
      <c r="W23" s="153">
        <v>80</v>
      </c>
      <c r="X23" s="182">
        <f>V23*W23*Operating_hours_per_year/1000</f>
        <v>34800</v>
      </c>
      <c r="Y23" s="135">
        <f>W23*Operating_hours_per_year*Total_Energy_Cost/1000</f>
        <v>69.599999999999994</v>
      </c>
      <c r="Z23" s="135">
        <f t="shared" si="30"/>
        <v>6959.9999999999991</v>
      </c>
      <c r="AA23" s="155">
        <v>45</v>
      </c>
      <c r="AB23" s="144">
        <f t="shared" si="31"/>
        <v>4500</v>
      </c>
      <c r="AC23" s="144">
        <f>(Y23+AA23)*V23</f>
        <v>11460</v>
      </c>
      <c r="AD23" s="155">
        <v>400</v>
      </c>
      <c r="AE23" s="155">
        <f>Controls_Cost</f>
        <v>120</v>
      </c>
      <c r="AF23" s="155">
        <v>200</v>
      </c>
      <c r="AG23" s="144">
        <f>(AD23+AE23+AF23)*V23</f>
        <v>72000</v>
      </c>
    </row>
    <row r="24" spans="2:33" x14ac:dyDescent="0.25">
      <c r="B24" s="128" t="s">
        <v>127</v>
      </c>
      <c r="C24" s="129"/>
      <c r="D24" s="128" t="s">
        <v>117</v>
      </c>
      <c r="E24" s="153">
        <v>100</v>
      </c>
      <c r="F24" s="128">
        <v>168</v>
      </c>
      <c r="G24" s="182">
        <f>E24*F24*Operating_hours_per_year/1000</f>
        <v>73080</v>
      </c>
      <c r="H24" s="135">
        <f>F24*Operating_hours_per_year*Total_Energy_Cost/1000</f>
        <v>146.16</v>
      </c>
      <c r="I24" s="135">
        <f t="shared" si="27"/>
        <v>14616</v>
      </c>
      <c r="J24" s="155">
        <v>70</v>
      </c>
      <c r="K24" s="144">
        <f t="shared" si="28"/>
        <v>7000</v>
      </c>
      <c r="L24" s="155">
        <v>40</v>
      </c>
      <c r="M24" s="144">
        <f t="shared" si="29"/>
        <v>4000</v>
      </c>
      <c r="N24" s="140">
        <f>(J24+L24+H24)*E24</f>
        <v>25615.999999999996</v>
      </c>
      <c r="O24" s="129"/>
      <c r="P24" s="155">
        <v>100</v>
      </c>
      <c r="Q24" s="138">
        <f>P24*E24</f>
        <v>10000</v>
      </c>
      <c r="R24" s="155">
        <v>100</v>
      </c>
      <c r="S24" s="138">
        <f>R24*E24</f>
        <v>10000</v>
      </c>
      <c r="T24" s="135">
        <f>(G24-X24)*Enviro_Certificate_Years*(Assumed_operating_hours_per_year_for_enviro_certificates/Operating_hours_per_year)*Enviro_Certificate_Conversion_Factor*Estimated_Net_Enviro_Certificate_Value/1000</f>
        <v>7555.6800000000012</v>
      </c>
      <c r="U24" s="129"/>
      <c r="V24" s="153">
        <f>E24</f>
        <v>100</v>
      </c>
      <c r="W24" s="153">
        <v>80</v>
      </c>
      <c r="X24" s="182">
        <f>V24*W24*Operating_hours_per_year/1000</f>
        <v>34800</v>
      </c>
      <c r="Y24" s="135">
        <f>W24*Operating_hours_per_year*Total_Energy_Cost/1000</f>
        <v>69.599999999999994</v>
      </c>
      <c r="Z24" s="135">
        <f t="shared" si="30"/>
        <v>6959.9999999999991</v>
      </c>
      <c r="AA24" s="155">
        <v>45</v>
      </c>
      <c r="AB24" s="144">
        <f t="shared" si="31"/>
        <v>4500</v>
      </c>
      <c r="AC24" s="144">
        <f>(Y24+AA24)*V24</f>
        <v>11460</v>
      </c>
      <c r="AD24" s="155">
        <v>400</v>
      </c>
      <c r="AE24" s="155">
        <f>Controls_Cost</f>
        <v>120</v>
      </c>
      <c r="AF24" s="155">
        <v>200</v>
      </c>
      <c r="AG24" s="144">
        <f>(AD24+AE24+AF24)*V24</f>
        <v>72000</v>
      </c>
    </row>
    <row r="25" spans="2:33" x14ac:dyDescent="0.25">
      <c r="B25" s="128"/>
      <c r="C25" s="129"/>
      <c r="D25" s="128"/>
      <c r="E25" s="128"/>
      <c r="F25" s="128"/>
      <c r="G25" s="182"/>
      <c r="H25" s="128"/>
      <c r="I25" s="128"/>
      <c r="J25" s="128"/>
      <c r="K25" s="128"/>
      <c r="L25" s="128"/>
      <c r="M25" s="128"/>
      <c r="N25" s="130"/>
      <c r="O25" s="129"/>
      <c r="P25" s="128"/>
      <c r="Q25" s="128"/>
      <c r="R25" s="128"/>
      <c r="S25" s="128"/>
      <c r="T25" s="128"/>
      <c r="U25" s="129"/>
      <c r="V25" s="128"/>
      <c r="W25" s="128"/>
      <c r="X25" s="182"/>
      <c r="Y25" s="128"/>
      <c r="Z25" s="128"/>
      <c r="AA25" s="139"/>
      <c r="AB25" s="139"/>
      <c r="AC25" s="139"/>
      <c r="AD25" s="139"/>
      <c r="AE25" s="139"/>
      <c r="AF25" s="139"/>
      <c r="AG25" s="139"/>
    </row>
    <row r="26" spans="2:33" x14ac:dyDescent="0.25">
      <c r="B26" s="128" t="s">
        <v>128</v>
      </c>
      <c r="C26" s="129"/>
      <c r="D26" s="128" t="s">
        <v>118</v>
      </c>
      <c r="E26" s="153">
        <v>100</v>
      </c>
      <c r="F26" s="128">
        <v>430</v>
      </c>
      <c r="G26" s="182">
        <f>E26*F26*Operating_hours_per_year/1000</f>
        <v>187050</v>
      </c>
      <c r="H26" s="135">
        <f>F26*Operating_hours_per_year*Total_Energy_Cost/1000</f>
        <v>374.1</v>
      </c>
      <c r="I26" s="135">
        <f t="shared" ref="I26:I30" si="32">H26*E26</f>
        <v>37410</v>
      </c>
      <c r="J26" s="155">
        <v>70</v>
      </c>
      <c r="K26" s="144">
        <f t="shared" ref="K26:K30" si="33">J26*E26</f>
        <v>7000</v>
      </c>
      <c r="L26" s="155">
        <v>40</v>
      </c>
      <c r="M26" s="144">
        <f t="shared" ref="M26:M30" si="34">L26*E26</f>
        <v>4000</v>
      </c>
      <c r="N26" s="140">
        <f>(J26+L26+H26)*E26</f>
        <v>48410</v>
      </c>
      <c r="O26" s="129"/>
      <c r="P26" s="155">
        <v>100</v>
      </c>
      <c r="Q26" s="138">
        <f>P26*E26</f>
        <v>10000</v>
      </c>
      <c r="R26" s="155">
        <v>100</v>
      </c>
      <c r="S26" s="138">
        <f>R26*E26</f>
        <v>10000</v>
      </c>
      <c r="T26" s="135">
        <f>(G26-X26)*Enviro_Certificate_Years*(Assumed_operating_hours_per_year_for_enviro_certificates/Operating_hours_per_year)*Enviro_Certificate_Conversion_Factor*Estimated_Net_Enviro_Certificate_Value/1000</f>
        <v>23182.2</v>
      </c>
      <c r="U26" s="129"/>
      <c r="V26" s="153">
        <f>E26</f>
        <v>100</v>
      </c>
      <c r="W26" s="153">
        <v>160</v>
      </c>
      <c r="X26" s="182">
        <f>V26*W26*Operating_hours_per_year/1000</f>
        <v>69600</v>
      </c>
      <c r="Y26" s="135">
        <f>W26*Operating_hours_per_year*Total_Energy_Cost/1000</f>
        <v>139.19999999999999</v>
      </c>
      <c r="Z26" s="135">
        <f t="shared" ref="Z26:Z30" si="35">Y26*V26</f>
        <v>13919.999999999998</v>
      </c>
      <c r="AA26" s="155">
        <v>45</v>
      </c>
      <c r="AB26" s="144">
        <f t="shared" ref="AB26:AB30" si="36">AA26*V26</f>
        <v>4500</v>
      </c>
      <c r="AC26" s="144">
        <f>(Y26+AA26)*V26</f>
        <v>18420</v>
      </c>
      <c r="AD26" s="155">
        <v>500</v>
      </c>
      <c r="AE26" s="155">
        <f>Controls_Cost</f>
        <v>120</v>
      </c>
      <c r="AF26" s="155">
        <v>200</v>
      </c>
      <c r="AG26" s="144">
        <f>(AD26+AE26+AF26)*V26</f>
        <v>82000</v>
      </c>
    </row>
    <row r="27" spans="2:33" x14ac:dyDescent="0.25">
      <c r="B27" s="128" t="s">
        <v>128</v>
      </c>
      <c r="C27" s="129"/>
      <c r="D27" s="128" t="s">
        <v>119</v>
      </c>
      <c r="E27" s="153">
        <v>100</v>
      </c>
      <c r="F27" s="128">
        <v>273</v>
      </c>
      <c r="G27" s="182">
        <f>E27*F27*Operating_hours_per_year/1000</f>
        <v>118755</v>
      </c>
      <c r="H27" s="135">
        <f>F27*Operating_hours_per_year*Total_Energy_Cost/1000</f>
        <v>237.51</v>
      </c>
      <c r="I27" s="135">
        <f t="shared" si="32"/>
        <v>23751</v>
      </c>
      <c r="J27" s="155">
        <v>70</v>
      </c>
      <c r="K27" s="144">
        <f t="shared" si="33"/>
        <v>7000</v>
      </c>
      <c r="L27" s="155">
        <v>40</v>
      </c>
      <c r="M27" s="144">
        <f t="shared" si="34"/>
        <v>4000</v>
      </c>
      <c r="N27" s="140">
        <f>(J27+L27+H27)*E27</f>
        <v>34751</v>
      </c>
      <c r="O27" s="129"/>
      <c r="P27" s="155">
        <v>100</v>
      </c>
      <c r="Q27" s="138">
        <f>P27*E27</f>
        <v>10000</v>
      </c>
      <c r="R27" s="155">
        <v>100</v>
      </c>
      <c r="S27" s="138">
        <f>R27*E27</f>
        <v>10000</v>
      </c>
      <c r="T27" s="135">
        <f>(G27-X27)*Enviro_Certificate_Years*(Assumed_operating_hours_per_year_for_enviro_certificates/Operating_hours_per_year)*Enviro_Certificate_Conversion_Factor*Estimated_Net_Enviro_Certificate_Value/1000</f>
        <v>9702.18</v>
      </c>
      <c r="U27" s="129"/>
      <c r="V27" s="153">
        <f>E27</f>
        <v>100</v>
      </c>
      <c r="W27" s="153">
        <v>160</v>
      </c>
      <c r="X27" s="182">
        <f>V27*W27*Operating_hours_per_year/1000</f>
        <v>69600</v>
      </c>
      <c r="Y27" s="135">
        <f>W27*Operating_hours_per_year*Total_Energy_Cost/1000</f>
        <v>139.19999999999999</v>
      </c>
      <c r="Z27" s="135">
        <f t="shared" si="35"/>
        <v>13919.999999999998</v>
      </c>
      <c r="AA27" s="155">
        <v>45</v>
      </c>
      <c r="AB27" s="144">
        <f t="shared" si="36"/>
        <v>4500</v>
      </c>
      <c r="AC27" s="144">
        <f>(Y27+AA27)*V27</f>
        <v>18420</v>
      </c>
      <c r="AD27" s="155">
        <v>500</v>
      </c>
      <c r="AE27" s="155">
        <f>Controls_Cost</f>
        <v>120</v>
      </c>
      <c r="AF27" s="155">
        <v>200</v>
      </c>
      <c r="AG27" s="144">
        <f>(AD27+AE27+AF27)*V27</f>
        <v>82000</v>
      </c>
    </row>
    <row r="28" spans="2:33" x14ac:dyDescent="0.25">
      <c r="B28" s="128" t="s">
        <v>128</v>
      </c>
      <c r="C28" s="129"/>
      <c r="D28" s="128" t="s">
        <v>120</v>
      </c>
      <c r="E28" s="153">
        <v>100</v>
      </c>
      <c r="F28" s="128">
        <v>268</v>
      </c>
      <c r="G28" s="182">
        <f>E28*F28*Operating_hours_per_year/1000</f>
        <v>116580</v>
      </c>
      <c r="H28" s="135">
        <f>F28*Operating_hours_per_year*Total_Energy_Cost/1000</f>
        <v>233.16</v>
      </c>
      <c r="I28" s="135">
        <f t="shared" si="32"/>
        <v>23316</v>
      </c>
      <c r="J28" s="155">
        <v>70</v>
      </c>
      <c r="K28" s="144">
        <f t="shared" si="33"/>
        <v>7000</v>
      </c>
      <c r="L28" s="155">
        <v>40</v>
      </c>
      <c r="M28" s="144">
        <f t="shared" si="34"/>
        <v>4000</v>
      </c>
      <c r="N28" s="140">
        <f>(J28+L28+H28)*E28</f>
        <v>34316</v>
      </c>
      <c r="O28" s="129"/>
      <c r="P28" s="155">
        <v>100</v>
      </c>
      <c r="Q28" s="138">
        <f>P28*E28</f>
        <v>10000</v>
      </c>
      <c r="R28" s="155">
        <v>100</v>
      </c>
      <c r="S28" s="138">
        <f>R28*E28</f>
        <v>10000</v>
      </c>
      <c r="T28" s="135">
        <f>(G28-X28)*Enviro_Certificate_Years*(Assumed_operating_hours_per_year_for_enviro_certificates/Operating_hours_per_year)*Enviro_Certificate_Conversion_Factor*Estimated_Net_Enviro_Certificate_Value/1000</f>
        <v>9272.8799999999992</v>
      </c>
      <c r="U28" s="129"/>
      <c r="V28" s="153">
        <f>E28</f>
        <v>100</v>
      </c>
      <c r="W28" s="153">
        <v>160</v>
      </c>
      <c r="X28" s="182">
        <f>V28*W28*Operating_hours_per_year/1000</f>
        <v>69600</v>
      </c>
      <c r="Y28" s="135">
        <f>W28*Operating_hours_per_year*Total_Energy_Cost/1000</f>
        <v>139.19999999999999</v>
      </c>
      <c r="Z28" s="135">
        <f t="shared" si="35"/>
        <v>13919.999999999998</v>
      </c>
      <c r="AA28" s="155">
        <v>45</v>
      </c>
      <c r="AB28" s="144">
        <f t="shared" si="36"/>
        <v>4500</v>
      </c>
      <c r="AC28" s="144">
        <f>(Y28+AA28)*V28</f>
        <v>18420</v>
      </c>
      <c r="AD28" s="155">
        <v>500</v>
      </c>
      <c r="AE28" s="155">
        <f>Controls_Cost</f>
        <v>120</v>
      </c>
      <c r="AF28" s="155">
        <v>200</v>
      </c>
      <c r="AG28" s="144">
        <f>(AD28+AE28+AF28)*V28</f>
        <v>82000</v>
      </c>
    </row>
    <row r="29" spans="2:33" x14ac:dyDescent="0.25">
      <c r="B29" s="128" t="s">
        <v>128</v>
      </c>
      <c r="C29" s="129"/>
      <c r="D29" s="128" t="s">
        <v>121</v>
      </c>
      <c r="E29" s="153">
        <v>100</v>
      </c>
      <c r="F29" s="128">
        <v>440</v>
      </c>
      <c r="G29" s="182">
        <f>E29*F29*Operating_hours_per_year/1000</f>
        <v>191400</v>
      </c>
      <c r="H29" s="135">
        <f>F29*Operating_hours_per_year*Total_Energy_Cost/1000</f>
        <v>382.8</v>
      </c>
      <c r="I29" s="135">
        <f t="shared" si="32"/>
        <v>38280</v>
      </c>
      <c r="J29" s="155">
        <v>70</v>
      </c>
      <c r="K29" s="144">
        <f t="shared" si="33"/>
        <v>7000</v>
      </c>
      <c r="L29" s="155">
        <v>40</v>
      </c>
      <c r="M29" s="144">
        <f t="shared" si="34"/>
        <v>4000</v>
      </c>
      <c r="N29" s="140">
        <f>(J29+L29+H29)*E29</f>
        <v>49280</v>
      </c>
      <c r="O29" s="129"/>
      <c r="P29" s="155">
        <v>100</v>
      </c>
      <c r="Q29" s="138">
        <f>P29*E29</f>
        <v>10000</v>
      </c>
      <c r="R29" s="155">
        <v>100</v>
      </c>
      <c r="S29" s="138">
        <f>R29*E29</f>
        <v>10000</v>
      </c>
      <c r="T29" s="135">
        <f>(G29-X29)*Enviro_Certificate_Years*(Assumed_operating_hours_per_year_for_enviro_certificates/Operating_hours_per_year)*Enviro_Certificate_Conversion_Factor*Estimated_Net_Enviro_Certificate_Value/1000</f>
        <v>17172</v>
      </c>
      <c r="U29" s="129"/>
      <c r="V29" s="153">
        <f>E29</f>
        <v>100</v>
      </c>
      <c r="W29" s="153">
        <v>240</v>
      </c>
      <c r="X29" s="182">
        <f>V29*W29*Operating_hours_per_year/1000</f>
        <v>104400</v>
      </c>
      <c r="Y29" s="135">
        <f>W29*Operating_hours_per_year*Total_Energy_Cost/1000</f>
        <v>208.8</v>
      </c>
      <c r="Z29" s="135">
        <f t="shared" si="35"/>
        <v>20880</v>
      </c>
      <c r="AA29" s="155">
        <v>45</v>
      </c>
      <c r="AB29" s="144">
        <f t="shared" si="36"/>
        <v>4500</v>
      </c>
      <c r="AC29" s="144">
        <f>(Y29+AA29)*V29</f>
        <v>25380</v>
      </c>
      <c r="AD29" s="155">
        <v>600</v>
      </c>
      <c r="AE29" s="155">
        <f>Controls_Cost</f>
        <v>120</v>
      </c>
      <c r="AF29" s="155">
        <v>200</v>
      </c>
      <c r="AG29" s="144">
        <f>(AD29+AE29+AF29)*V29</f>
        <v>92000</v>
      </c>
    </row>
    <row r="30" spans="2:33" x14ac:dyDescent="0.25">
      <c r="B30" s="128" t="s">
        <v>128</v>
      </c>
      <c r="C30" s="129"/>
      <c r="D30" s="128" t="s">
        <v>122</v>
      </c>
      <c r="E30" s="153">
        <v>100</v>
      </c>
      <c r="F30" s="128">
        <v>425</v>
      </c>
      <c r="G30" s="182">
        <f>E30*F30*Operating_hours_per_year/1000</f>
        <v>184875</v>
      </c>
      <c r="H30" s="135">
        <f>F30*Operating_hours_per_year*Total_Energy_Cost/1000</f>
        <v>369.75</v>
      </c>
      <c r="I30" s="135">
        <f t="shared" si="32"/>
        <v>36975</v>
      </c>
      <c r="J30" s="155">
        <v>70</v>
      </c>
      <c r="K30" s="144">
        <f t="shared" si="33"/>
        <v>7000</v>
      </c>
      <c r="L30" s="155">
        <v>40</v>
      </c>
      <c r="M30" s="144">
        <f t="shared" si="34"/>
        <v>4000</v>
      </c>
      <c r="N30" s="140">
        <f>(J30+L30+H30)*E30</f>
        <v>47975</v>
      </c>
      <c r="O30" s="129"/>
      <c r="P30" s="155">
        <v>100</v>
      </c>
      <c r="Q30" s="138">
        <f>P30*E30</f>
        <v>10000</v>
      </c>
      <c r="R30" s="155">
        <v>100</v>
      </c>
      <c r="S30" s="138">
        <f>R30*E30</f>
        <v>10000</v>
      </c>
      <c r="T30" s="135">
        <f>(G30-X30)*Enviro_Certificate_Years*(Assumed_operating_hours_per_year_for_enviro_certificates/Operating_hours_per_year)*Enviro_Certificate_Conversion_Factor*Estimated_Net_Enviro_Certificate_Value/1000</f>
        <v>15884.100000000004</v>
      </c>
      <c r="U30" s="129"/>
      <c r="V30" s="153">
        <f>E30</f>
        <v>100</v>
      </c>
      <c r="W30" s="153">
        <v>240</v>
      </c>
      <c r="X30" s="182">
        <f>V30*W30*Operating_hours_per_year/1000</f>
        <v>104400</v>
      </c>
      <c r="Y30" s="135">
        <f>W30*Operating_hours_per_year*Total_Energy_Cost/1000</f>
        <v>208.8</v>
      </c>
      <c r="Z30" s="135">
        <f t="shared" si="35"/>
        <v>20880</v>
      </c>
      <c r="AA30" s="155">
        <v>45</v>
      </c>
      <c r="AB30" s="144">
        <f t="shared" si="36"/>
        <v>4500</v>
      </c>
      <c r="AC30" s="144">
        <f>(Y30+AA30)*V30</f>
        <v>25380</v>
      </c>
      <c r="AD30" s="155">
        <v>600</v>
      </c>
      <c r="AE30" s="155">
        <f>Controls_Cost</f>
        <v>120</v>
      </c>
      <c r="AF30" s="155">
        <v>200</v>
      </c>
      <c r="AG30" s="144">
        <f>(AD30+AE30+AF30)*V30</f>
        <v>92000</v>
      </c>
    </row>
    <row r="31" spans="2:33" x14ac:dyDescent="0.25">
      <c r="B31" s="128"/>
      <c r="C31" s="129"/>
      <c r="D31" s="128"/>
      <c r="E31" s="128"/>
      <c r="F31" s="128"/>
      <c r="G31" s="182"/>
      <c r="H31" s="128"/>
      <c r="I31" s="128"/>
      <c r="J31" s="128"/>
      <c r="K31" s="128"/>
      <c r="L31" s="128"/>
      <c r="M31" s="128"/>
      <c r="N31" s="130"/>
      <c r="O31" s="129"/>
      <c r="P31" s="128"/>
      <c r="Q31" s="128"/>
      <c r="R31" s="128"/>
      <c r="S31" s="128"/>
      <c r="T31" s="128"/>
      <c r="U31" s="129"/>
      <c r="V31" s="128"/>
      <c r="W31" s="128"/>
      <c r="X31" s="182"/>
      <c r="Y31" s="128"/>
      <c r="Z31" s="128"/>
      <c r="AA31" s="128"/>
      <c r="AB31" s="128"/>
      <c r="AC31" s="128"/>
      <c r="AD31" s="128"/>
      <c r="AE31" s="128"/>
      <c r="AF31" s="128"/>
      <c r="AG31" s="128"/>
    </row>
    <row r="32" spans="2:33" x14ac:dyDescent="0.25">
      <c r="B32" s="128" t="s">
        <v>213</v>
      </c>
      <c r="C32" s="129"/>
      <c r="D32" s="154" t="s">
        <v>126</v>
      </c>
      <c r="E32" s="153">
        <v>0</v>
      </c>
      <c r="F32" s="153">
        <v>0</v>
      </c>
      <c r="G32" s="182">
        <f t="shared" ref="G32:G37" si="37">E32*F32*Operating_hours_per_year/1000</f>
        <v>0</v>
      </c>
      <c r="H32" s="135">
        <f t="shared" ref="H32:H37" si="38">F32*Operating_hours_per_year*Total_Energy_Cost/1000</f>
        <v>0</v>
      </c>
      <c r="I32" s="135">
        <f t="shared" ref="I32:I37" si="39">H32*E32</f>
        <v>0</v>
      </c>
      <c r="J32" s="155">
        <v>0</v>
      </c>
      <c r="K32" s="144">
        <f t="shared" ref="K32:K37" si="40">J32*E32</f>
        <v>0</v>
      </c>
      <c r="L32" s="155">
        <v>0</v>
      </c>
      <c r="M32" s="144">
        <f t="shared" ref="M32:M37" si="41">L32*E32</f>
        <v>0</v>
      </c>
      <c r="N32" s="140">
        <f t="shared" ref="N32:N37" si="42">J32+L32+H32</f>
        <v>0</v>
      </c>
      <c r="O32" s="129"/>
      <c r="P32" s="155">
        <v>100</v>
      </c>
      <c r="Q32" s="138">
        <f t="shared" ref="Q32:Q37" si="43">P32*E32</f>
        <v>0</v>
      </c>
      <c r="R32" s="155">
        <v>100</v>
      </c>
      <c r="S32" s="138">
        <f t="shared" ref="S32:S37" si="44">R32*E32</f>
        <v>0</v>
      </c>
      <c r="T32" s="135">
        <f t="shared" ref="T32:T37" si="45">(G32-X32)*Enviro_Certificate_Years*(Assumed_operating_hours_per_year_for_enviro_certificates/Operating_hours_per_year)*Enviro_Certificate_Conversion_Factor*Estimated_Net_Enviro_Certificate_Value/1000</f>
        <v>0</v>
      </c>
      <c r="U32" s="129"/>
      <c r="V32" s="153">
        <f t="shared" ref="V32:V37" si="46">E32</f>
        <v>0</v>
      </c>
      <c r="W32" s="153">
        <v>0</v>
      </c>
      <c r="X32" s="182">
        <f t="shared" ref="X32:X37" si="47">V32*W32*Operating_hours_per_year/1000</f>
        <v>0</v>
      </c>
      <c r="Y32" s="135">
        <f t="shared" ref="Y32:Y37" si="48">W32*Operating_hours_per_year*Total_Energy_Cost/1000</f>
        <v>0</v>
      </c>
      <c r="Z32" s="135">
        <f t="shared" ref="Z32:Z37" si="49">Y32*V32</f>
        <v>0</v>
      </c>
      <c r="AA32" s="155">
        <v>0</v>
      </c>
      <c r="AB32" s="144">
        <f t="shared" ref="AB32:AB37" si="50">AA32*V32</f>
        <v>0</v>
      </c>
      <c r="AC32" s="144">
        <f t="shared" ref="AC32:AC37" si="51">(Y32+AA32)*V32</f>
        <v>0</v>
      </c>
      <c r="AD32" s="155">
        <v>0</v>
      </c>
      <c r="AE32" s="155">
        <v>0</v>
      </c>
      <c r="AF32" s="155">
        <v>0</v>
      </c>
      <c r="AG32" s="144">
        <f t="shared" ref="AG32:AG37" si="52">(AD32+AE32+AF32)*V32</f>
        <v>0</v>
      </c>
    </row>
    <row r="33" spans="2:33" x14ac:dyDescent="0.25">
      <c r="B33" s="128" t="s">
        <v>213</v>
      </c>
      <c r="C33" s="129"/>
      <c r="D33" s="154" t="s">
        <v>126</v>
      </c>
      <c r="E33" s="153">
        <v>0</v>
      </c>
      <c r="F33" s="153">
        <v>0</v>
      </c>
      <c r="G33" s="182">
        <f t="shared" si="37"/>
        <v>0</v>
      </c>
      <c r="H33" s="135">
        <f t="shared" si="38"/>
        <v>0</v>
      </c>
      <c r="I33" s="135">
        <f t="shared" si="39"/>
        <v>0</v>
      </c>
      <c r="J33" s="155">
        <v>0</v>
      </c>
      <c r="K33" s="144">
        <f t="shared" si="40"/>
        <v>0</v>
      </c>
      <c r="L33" s="155">
        <v>0</v>
      </c>
      <c r="M33" s="144">
        <f t="shared" si="41"/>
        <v>0</v>
      </c>
      <c r="N33" s="140">
        <f t="shared" si="42"/>
        <v>0</v>
      </c>
      <c r="O33" s="129"/>
      <c r="P33" s="155">
        <v>100</v>
      </c>
      <c r="Q33" s="138">
        <f t="shared" si="43"/>
        <v>0</v>
      </c>
      <c r="R33" s="155">
        <v>100</v>
      </c>
      <c r="S33" s="138">
        <f t="shared" si="44"/>
        <v>0</v>
      </c>
      <c r="T33" s="135">
        <f t="shared" si="45"/>
        <v>0</v>
      </c>
      <c r="U33" s="129"/>
      <c r="V33" s="153">
        <f t="shared" si="46"/>
        <v>0</v>
      </c>
      <c r="W33" s="153">
        <v>0</v>
      </c>
      <c r="X33" s="182">
        <f t="shared" si="47"/>
        <v>0</v>
      </c>
      <c r="Y33" s="135">
        <f t="shared" si="48"/>
        <v>0</v>
      </c>
      <c r="Z33" s="135">
        <f t="shared" si="49"/>
        <v>0</v>
      </c>
      <c r="AA33" s="155">
        <v>0</v>
      </c>
      <c r="AB33" s="144">
        <f t="shared" si="50"/>
        <v>0</v>
      </c>
      <c r="AC33" s="144">
        <f t="shared" si="51"/>
        <v>0</v>
      </c>
      <c r="AD33" s="155">
        <v>0</v>
      </c>
      <c r="AE33" s="155">
        <v>0</v>
      </c>
      <c r="AF33" s="155">
        <v>0</v>
      </c>
      <c r="AG33" s="144">
        <f t="shared" si="52"/>
        <v>0</v>
      </c>
    </row>
    <row r="34" spans="2:33" x14ac:dyDescent="0.25">
      <c r="B34" s="128" t="s">
        <v>213</v>
      </c>
      <c r="C34" s="129"/>
      <c r="D34" s="154" t="s">
        <v>126</v>
      </c>
      <c r="E34" s="153">
        <v>0</v>
      </c>
      <c r="F34" s="153">
        <v>0</v>
      </c>
      <c r="G34" s="182">
        <f t="shared" si="37"/>
        <v>0</v>
      </c>
      <c r="H34" s="135">
        <f t="shared" si="38"/>
        <v>0</v>
      </c>
      <c r="I34" s="135">
        <f t="shared" si="39"/>
        <v>0</v>
      </c>
      <c r="J34" s="155">
        <v>0</v>
      </c>
      <c r="K34" s="144">
        <f t="shared" si="40"/>
        <v>0</v>
      </c>
      <c r="L34" s="155">
        <v>0</v>
      </c>
      <c r="M34" s="144">
        <f t="shared" si="41"/>
        <v>0</v>
      </c>
      <c r="N34" s="140">
        <f t="shared" si="42"/>
        <v>0</v>
      </c>
      <c r="O34" s="129"/>
      <c r="P34" s="155">
        <v>100</v>
      </c>
      <c r="Q34" s="138">
        <f t="shared" si="43"/>
        <v>0</v>
      </c>
      <c r="R34" s="155">
        <v>100</v>
      </c>
      <c r="S34" s="138">
        <f t="shared" si="44"/>
        <v>0</v>
      </c>
      <c r="T34" s="135">
        <f t="shared" si="45"/>
        <v>0</v>
      </c>
      <c r="U34" s="129"/>
      <c r="V34" s="153">
        <f t="shared" si="46"/>
        <v>0</v>
      </c>
      <c r="W34" s="153">
        <v>0</v>
      </c>
      <c r="X34" s="182">
        <f t="shared" si="47"/>
        <v>0</v>
      </c>
      <c r="Y34" s="135">
        <f t="shared" si="48"/>
        <v>0</v>
      </c>
      <c r="Z34" s="135">
        <f t="shared" si="49"/>
        <v>0</v>
      </c>
      <c r="AA34" s="155">
        <v>0</v>
      </c>
      <c r="AB34" s="144">
        <f t="shared" si="50"/>
        <v>0</v>
      </c>
      <c r="AC34" s="144">
        <f t="shared" si="51"/>
        <v>0</v>
      </c>
      <c r="AD34" s="155">
        <v>0</v>
      </c>
      <c r="AE34" s="155">
        <v>0</v>
      </c>
      <c r="AF34" s="155">
        <v>0</v>
      </c>
      <c r="AG34" s="144">
        <f t="shared" si="52"/>
        <v>0</v>
      </c>
    </row>
    <row r="35" spans="2:33" x14ac:dyDescent="0.25">
      <c r="B35" s="128" t="s">
        <v>213</v>
      </c>
      <c r="C35" s="129"/>
      <c r="D35" s="154" t="s">
        <v>126</v>
      </c>
      <c r="E35" s="153">
        <v>0</v>
      </c>
      <c r="F35" s="153">
        <v>0</v>
      </c>
      <c r="G35" s="182">
        <f t="shared" si="37"/>
        <v>0</v>
      </c>
      <c r="H35" s="135">
        <f t="shared" si="38"/>
        <v>0</v>
      </c>
      <c r="I35" s="135">
        <f t="shared" si="39"/>
        <v>0</v>
      </c>
      <c r="J35" s="155">
        <v>0</v>
      </c>
      <c r="K35" s="144">
        <f t="shared" si="40"/>
        <v>0</v>
      </c>
      <c r="L35" s="155">
        <v>0</v>
      </c>
      <c r="M35" s="144">
        <f t="shared" si="41"/>
        <v>0</v>
      </c>
      <c r="N35" s="140">
        <f t="shared" si="42"/>
        <v>0</v>
      </c>
      <c r="O35" s="129"/>
      <c r="P35" s="155">
        <v>100</v>
      </c>
      <c r="Q35" s="138">
        <f t="shared" si="43"/>
        <v>0</v>
      </c>
      <c r="R35" s="155">
        <v>100</v>
      </c>
      <c r="S35" s="138">
        <f t="shared" si="44"/>
        <v>0</v>
      </c>
      <c r="T35" s="135">
        <f t="shared" si="45"/>
        <v>0</v>
      </c>
      <c r="U35" s="129"/>
      <c r="V35" s="153">
        <f t="shared" si="46"/>
        <v>0</v>
      </c>
      <c r="W35" s="153">
        <v>0</v>
      </c>
      <c r="X35" s="182">
        <f t="shared" si="47"/>
        <v>0</v>
      </c>
      <c r="Y35" s="135">
        <f t="shared" si="48"/>
        <v>0</v>
      </c>
      <c r="Z35" s="135">
        <f t="shared" si="49"/>
        <v>0</v>
      </c>
      <c r="AA35" s="155">
        <v>0</v>
      </c>
      <c r="AB35" s="144">
        <f t="shared" si="50"/>
        <v>0</v>
      </c>
      <c r="AC35" s="144">
        <f t="shared" si="51"/>
        <v>0</v>
      </c>
      <c r="AD35" s="155">
        <v>0</v>
      </c>
      <c r="AE35" s="155">
        <v>0</v>
      </c>
      <c r="AF35" s="155">
        <v>0</v>
      </c>
      <c r="AG35" s="144">
        <f t="shared" si="52"/>
        <v>0</v>
      </c>
    </row>
    <row r="36" spans="2:33" x14ac:dyDescent="0.25">
      <c r="B36" s="128" t="s">
        <v>213</v>
      </c>
      <c r="C36" s="129"/>
      <c r="D36" s="154" t="s">
        <v>126</v>
      </c>
      <c r="E36" s="153">
        <v>0</v>
      </c>
      <c r="F36" s="153">
        <v>0</v>
      </c>
      <c r="G36" s="182">
        <f t="shared" si="37"/>
        <v>0</v>
      </c>
      <c r="H36" s="135">
        <f t="shared" si="38"/>
        <v>0</v>
      </c>
      <c r="I36" s="135">
        <f t="shared" si="39"/>
        <v>0</v>
      </c>
      <c r="J36" s="155">
        <v>0</v>
      </c>
      <c r="K36" s="144">
        <f t="shared" si="40"/>
        <v>0</v>
      </c>
      <c r="L36" s="155">
        <v>0</v>
      </c>
      <c r="M36" s="144">
        <f t="shared" si="41"/>
        <v>0</v>
      </c>
      <c r="N36" s="140">
        <f t="shared" si="42"/>
        <v>0</v>
      </c>
      <c r="O36" s="129"/>
      <c r="P36" s="155">
        <v>100</v>
      </c>
      <c r="Q36" s="138">
        <f t="shared" si="43"/>
        <v>0</v>
      </c>
      <c r="R36" s="155">
        <v>100</v>
      </c>
      <c r="S36" s="138">
        <f t="shared" si="44"/>
        <v>0</v>
      </c>
      <c r="T36" s="135">
        <f t="shared" si="45"/>
        <v>0</v>
      </c>
      <c r="U36" s="129"/>
      <c r="V36" s="153">
        <f t="shared" si="46"/>
        <v>0</v>
      </c>
      <c r="W36" s="153">
        <v>0</v>
      </c>
      <c r="X36" s="182">
        <f t="shared" si="47"/>
        <v>0</v>
      </c>
      <c r="Y36" s="135">
        <f t="shared" si="48"/>
        <v>0</v>
      </c>
      <c r="Z36" s="135">
        <f t="shared" si="49"/>
        <v>0</v>
      </c>
      <c r="AA36" s="155">
        <v>0</v>
      </c>
      <c r="AB36" s="144">
        <f t="shared" si="50"/>
        <v>0</v>
      </c>
      <c r="AC36" s="144">
        <f t="shared" si="51"/>
        <v>0</v>
      </c>
      <c r="AD36" s="155">
        <v>0</v>
      </c>
      <c r="AE36" s="155">
        <v>0</v>
      </c>
      <c r="AF36" s="155">
        <v>0</v>
      </c>
      <c r="AG36" s="144">
        <f t="shared" si="52"/>
        <v>0</v>
      </c>
    </row>
    <row r="37" spans="2:33" x14ac:dyDescent="0.25">
      <c r="B37" s="128" t="s">
        <v>213</v>
      </c>
      <c r="C37" s="129"/>
      <c r="D37" s="154" t="s">
        <v>126</v>
      </c>
      <c r="E37" s="153">
        <v>0</v>
      </c>
      <c r="F37" s="153">
        <v>0</v>
      </c>
      <c r="G37" s="182">
        <f t="shared" si="37"/>
        <v>0</v>
      </c>
      <c r="H37" s="135">
        <f t="shared" si="38"/>
        <v>0</v>
      </c>
      <c r="I37" s="135">
        <f t="shared" si="39"/>
        <v>0</v>
      </c>
      <c r="J37" s="155">
        <v>0</v>
      </c>
      <c r="K37" s="144">
        <f t="shared" si="40"/>
        <v>0</v>
      </c>
      <c r="L37" s="155">
        <v>0</v>
      </c>
      <c r="M37" s="144">
        <f t="shared" si="41"/>
        <v>0</v>
      </c>
      <c r="N37" s="140">
        <f t="shared" si="42"/>
        <v>0</v>
      </c>
      <c r="O37" s="129"/>
      <c r="P37" s="155">
        <v>100</v>
      </c>
      <c r="Q37" s="138">
        <f t="shared" si="43"/>
        <v>0</v>
      </c>
      <c r="R37" s="155">
        <v>100</v>
      </c>
      <c r="S37" s="138">
        <f t="shared" si="44"/>
        <v>0</v>
      </c>
      <c r="T37" s="135">
        <f t="shared" si="45"/>
        <v>0</v>
      </c>
      <c r="U37" s="129"/>
      <c r="V37" s="153">
        <f t="shared" si="46"/>
        <v>0</v>
      </c>
      <c r="W37" s="153">
        <v>0</v>
      </c>
      <c r="X37" s="182">
        <f t="shared" si="47"/>
        <v>0</v>
      </c>
      <c r="Y37" s="135">
        <f t="shared" si="48"/>
        <v>0</v>
      </c>
      <c r="Z37" s="135">
        <f t="shared" si="49"/>
        <v>0</v>
      </c>
      <c r="AA37" s="155">
        <v>0</v>
      </c>
      <c r="AB37" s="144">
        <f t="shared" si="50"/>
        <v>0</v>
      </c>
      <c r="AC37" s="144">
        <f t="shared" si="51"/>
        <v>0</v>
      </c>
      <c r="AD37" s="155">
        <v>0</v>
      </c>
      <c r="AE37" s="155">
        <v>0</v>
      </c>
      <c r="AF37" s="155">
        <v>0</v>
      </c>
      <c r="AG37" s="144">
        <f t="shared" si="52"/>
        <v>0</v>
      </c>
    </row>
    <row r="38" spans="2:33" x14ac:dyDescent="0.25">
      <c r="B38" s="128"/>
      <c r="C38" s="129"/>
      <c r="D38" s="128"/>
      <c r="E38" s="128"/>
      <c r="F38" s="128"/>
      <c r="G38" s="182"/>
      <c r="H38" s="128"/>
      <c r="I38" s="128"/>
      <c r="J38" s="128"/>
      <c r="K38" s="128"/>
      <c r="L38" s="128"/>
      <c r="M38" s="128"/>
      <c r="N38" s="128"/>
      <c r="O38" s="129"/>
      <c r="P38" s="128"/>
      <c r="Q38" s="128"/>
      <c r="R38" s="128"/>
      <c r="S38" s="128"/>
      <c r="T38" s="128"/>
      <c r="U38" s="129"/>
      <c r="V38" s="128"/>
      <c r="W38" s="128"/>
      <c r="X38" s="182"/>
      <c r="Y38" s="128"/>
      <c r="Z38" s="128"/>
      <c r="AA38" s="128"/>
      <c r="AB38" s="128"/>
      <c r="AC38" s="128"/>
      <c r="AD38" s="128"/>
      <c r="AE38" s="128"/>
      <c r="AF38" s="128"/>
      <c r="AG38" s="128"/>
    </row>
    <row r="39" spans="2:33" s="132" customFormat="1" x14ac:dyDescent="0.25">
      <c r="B39" s="136"/>
      <c r="C39" s="143"/>
      <c r="D39" s="136" t="s">
        <v>132</v>
      </c>
      <c r="E39" s="136">
        <f>SUM(E7:E37)</f>
        <v>2000</v>
      </c>
      <c r="F39" s="136"/>
      <c r="G39" s="183">
        <f>SUM(G7:G37)</f>
        <v>1474780.5</v>
      </c>
      <c r="H39" s="137"/>
      <c r="I39" s="137">
        <f t="shared" ref="I39:N39" si="53">SUM(I7:I37)</f>
        <v>294956.09999999998</v>
      </c>
      <c r="J39" s="137"/>
      <c r="K39" s="137">
        <f t="shared" si="53"/>
        <v>120000</v>
      </c>
      <c r="L39" s="137"/>
      <c r="M39" s="137">
        <f t="shared" si="53"/>
        <v>60000</v>
      </c>
      <c r="N39" s="137">
        <f t="shared" si="53"/>
        <v>474956.1</v>
      </c>
      <c r="O39" s="143"/>
      <c r="P39" s="136"/>
      <c r="Q39" s="137">
        <f t="shared" ref="Q39" si="54">SUM(Q7:Q37)</f>
        <v>200000</v>
      </c>
      <c r="R39" s="136"/>
      <c r="S39" s="137">
        <f t="shared" ref="S39:T39" si="55">SUM(S7:S37)</f>
        <v>200000</v>
      </c>
      <c r="T39" s="137">
        <f t="shared" si="55"/>
        <v>164361.79800000004</v>
      </c>
      <c r="U39" s="143"/>
      <c r="V39" s="136">
        <f>SUM(V7:V37)</f>
        <v>2000</v>
      </c>
      <c r="W39" s="136"/>
      <c r="X39" s="183">
        <f>SUM(X7:X37)</f>
        <v>642060</v>
      </c>
      <c r="Y39" s="136"/>
      <c r="Z39" s="137">
        <f>SUM(Z7:Z37)</f>
        <v>128412</v>
      </c>
      <c r="AA39" s="136"/>
      <c r="AB39" s="137">
        <f>SUM(AB7:AB37)</f>
        <v>70000</v>
      </c>
      <c r="AC39" s="137">
        <f>SUM(AC7:AC37)</f>
        <v>198412</v>
      </c>
      <c r="AD39" s="136"/>
      <c r="AE39" s="136"/>
      <c r="AF39" s="136"/>
      <c r="AG39" s="137">
        <f>SUM(AG7:AG37)</f>
        <v>1241000</v>
      </c>
    </row>
  </sheetData>
  <mergeCells count="3">
    <mergeCell ref="D4:N4"/>
    <mergeCell ref="P4:T4"/>
    <mergeCell ref="V4:AG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9BDC4-1000-44B2-831E-D3D3AA27F107}">
  <sheetPr>
    <tabColor rgb="FFFFC000"/>
    <pageSetUpPr fitToPage="1"/>
  </sheetPr>
  <dimension ref="A1:G32"/>
  <sheetViews>
    <sheetView topLeftCell="A10" workbookViewId="0">
      <selection sqref="A1:B2"/>
    </sheetView>
  </sheetViews>
  <sheetFormatPr defaultColWidth="9.140625" defaultRowHeight="15" x14ac:dyDescent="0.25"/>
  <cols>
    <col min="1" max="1" width="3.140625" style="191" customWidth="1"/>
    <col min="2" max="2" width="62.28515625" style="191" customWidth="1"/>
    <col min="3" max="5" width="23.140625" style="191" customWidth="1"/>
    <col min="6" max="7" width="20.7109375" style="191" customWidth="1"/>
    <col min="8" max="16384" width="9.140625" style="191"/>
  </cols>
  <sheetData>
    <row r="1" spans="1:6" x14ac:dyDescent="0.25">
      <c r="A1" s="212"/>
      <c r="B1" s="212"/>
      <c r="C1" s="212"/>
      <c r="D1" s="212"/>
      <c r="E1" s="212"/>
      <c r="F1" s="212"/>
    </row>
    <row r="2" spans="1:6" ht="28.5" x14ac:dyDescent="0.45">
      <c r="A2" s="213"/>
      <c r="B2" s="211" t="s">
        <v>244</v>
      </c>
      <c r="C2" s="211"/>
      <c r="D2" s="211"/>
      <c r="E2" s="211"/>
      <c r="F2" s="211"/>
    </row>
    <row r="4" spans="1:6" x14ac:dyDescent="0.25">
      <c r="B4" s="205" t="s">
        <v>214</v>
      </c>
      <c r="C4" s="204"/>
    </row>
    <row r="5" spans="1:6" x14ac:dyDescent="0.25">
      <c r="B5" s="178" t="s">
        <v>215</v>
      </c>
      <c r="C5" s="185" t="str">
        <f>'Lighting Assumptions'!C14</f>
        <v>NSW</v>
      </c>
    </row>
    <row r="6" spans="1:6" x14ac:dyDescent="0.25">
      <c r="B6" s="178" t="s">
        <v>211</v>
      </c>
      <c r="C6" s="186">
        <f>Total_Energy_Cost</f>
        <v>0.2</v>
      </c>
    </row>
    <row r="7" spans="1:6" x14ac:dyDescent="0.25">
      <c r="B7" s="178" t="s">
        <v>212</v>
      </c>
      <c r="C7" s="185" t="str">
        <f>IF(Controls_Cost='Lighting Assumptions'!C25,"NO","YES")</f>
        <v>YES</v>
      </c>
    </row>
    <row r="8" spans="1:6" x14ac:dyDescent="0.25">
      <c r="B8" s="178" t="s">
        <v>236</v>
      </c>
      <c r="C8" s="187">
        <v>10</v>
      </c>
    </row>
    <row r="9" spans="1:6" x14ac:dyDescent="0.25">
      <c r="B9" s="178" t="s">
        <v>221</v>
      </c>
      <c r="C9" s="180">
        <f>CashFlow!E21</f>
        <v>0.06</v>
      </c>
    </row>
    <row r="10" spans="1:6" x14ac:dyDescent="0.25">
      <c r="B10" s="204"/>
      <c r="C10" s="204"/>
    </row>
    <row r="11" spans="1:6" x14ac:dyDescent="0.25">
      <c r="B11" s="205" t="s">
        <v>170</v>
      </c>
      <c r="C11" s="204"/>
    </row>
    <row r="12" spans="1:6" ht="15.75" customHeight="1" x14ac:dyDescent="0.25">
      <c r="B12" s="152" t="s">
        <v>228</v>
      </c>
      <c r="C12" s="210" t="s">
        <v>227</v>
      </c>
    </row>
    <row r="13" spans="1:6" ht="15.75" customHeight="1" x14ac:dyDescent="0.25">
      <c r="B13" s="176" t="s">
        <v>190</v>
      </c>
      <c r="C13" s="177">
        <f>'Lighting Calcs'!AG39</f>
        <v>1241000</v>
      </c>
      <c r="D13" s="204"/>
      <c r="E13" s="204"/>
    </row>
    <row r="14" spans="1:6" ht="15.75" customHeight="1" x14ac:dyDescent="0.25">
      <c r="B14" s="176" t="s">
        <v>155</v>
      </c>
      <c r="C14" s="177">
        <f>'Lighting Calcs'!Q39</f>
        <v>200000</v>
      </c>
      <c r="D14" s="204"/>
      <c r="E14" s="204"/>
    </row>
    <row r="15" spans="1:6" ht="15.75" customHeight="1" x14ac:dyDescent="0.25">
      <c r="B15" s="176" t="s">
        <v>156</v>
      </c>
      <c r="C15" s="177">
        <f>-'Lighting Calcs'!S39</f>
        <v>-200000</v>
      </c>
      <c r="D15" s="204"/>
      <c r="E15" s="204"/>
    </row>
    <row r="16" spans="1:6" ht="15.75" customHeight="1" x14ac:dyDescent="0.25">
      <c r="B16" s="176" t="s">
        <v>169</v>
      </c>
      <c r="C16" s="177">
        <f>-'Lighting Calcs'!T39</f>
        <v>-164361.79800000004</v>
      </c>
      <c r="D16" s="204"/>
      <c r="E16" s="204"/>
    </row>
    <row r="17" spans="2:7" ht="15.75" customHeight="1" x14ac:dyDescent="0.25">
      <c r="B17" s="176" t="s">
        <v>191</v>
      </c>
      <c r="C17" s="177">
        <f>Project_management_cost_and_contingency*'Lighting Calcs'!E39</f>
        <v>20000</v>
      </c>
      <c r="D17" s="204"/>
      <c r="E17" s="204"/>
    </row>
    <row r="18" spans="2:7" ht="15.75" customHeight="1" x14ac:dyDescent="0.25">
      <c r="B18" s="152" t="s">
        <v>225</v>
      </c>
      <c r="C18" s="162">
        <f>SUM(C13:C17)</f>
        <v>1096638.202</v>
      </c>
      <c r="D18" s="204"/>
      <c r="E18" s="204"/>
    </row>
    <row r="19" spans="2:7" ht="15.75" customHeight="1" x14ac:dyDescent="0.25">
      <c r="B19" s="176" t="s">
        <v>157</v>
      </c>
      <c r="C19" s="177">
        <f>-CashFlow!E8</f>
        <v>0</v>
      </c>
      <c r="D19" s="204"/>
      <c r="E19" s="204"/>
    </row>
    <row r="20" spans="2:7" ht="15.75" customHeight="1" x14ac:dyDescent="0.25">
      <c r="B20" s="152" t="s">
        <v>242</v>
      </c>
      <c r="C20" s="162">
        <f>SUM(C18:C19)</f>
        <v>1096638.202</v>
      </c>
      <c r="D20" s="204"/>
      <c r="E20" s="204"/>
    </row>
    <row r="21" spans="2:7" ht="15.75" customHeight="1" x14ac:dyDescent="0.25">
      <c r="B21" s="204"/>
      <c r="C21" s="204"/>
      <c r="D21" s="204"/>
      <c r="E21" s="204"/>
    </row>
    <row r="22" spans="2:7" ht="15.75" customHeight="1" x14ac:dyDescent="0.25">
      <c r="B22" s="205" t="s">
        <v>175</v>
      </c>
      <c r="C22" s="206"/>
      <c r="D22" s="206"/>
      <c r="E22" s="206"/>
      <c r="F22" s="206"/>
      <c r="G22" s="206"/>
    </row>
    <row r="23" spans="2:7" ht="29.25" customHeight="1" x14ac:dyDescent="0.25">
      <c r="B23" s="207"/>
      <c r="C23" s="202" t="s">
        <v>245</v>
      </c>
      <c r="D23" s="202" t="s">
        <v>174</v>
      </c>
      <c r="E23" s="202" t="s">
        <v>173</v>
      </c>
      <c r="F23" s="206"/>
      <c r="G23" s="206"/>
    </row>
    <row r="24" spans="2:7" ht="15.75" customHeight="1" x14ac:dyDescent="0.25">
      <c r="B24" s="175" t="s">
        <v>171</v>
      </c>
      <c r="C24" s="174">
        <f>'Lighting Calcs'!I39</f>
        <v>294956.09999999998</v>
      </c>
      <c r="D24" s="174">
        <f>'Lighting Calcs'!Z39</f>
        <v>128412</v>
      </c>
      <c r="E24" s="174">
        <f>C24-D24</f>
        <v>166544.09999999998</v>
      </c>
      <c r="F24" s="206"/>
      <c r="G24" s="206"/>
    </row>
    <row r="25" spans="2:7" ht="15.75" customHeight="1" x14ac:dyDescent="0.25">
      <c r="B25" s="175" t="s">
        <v>209</v>
      </c>
      <c r="C25" s="174">
        <f>'Lighting Calcs'!K39+'Lighting Calcs'!M39</f>
        <v>180000</v>
      </c>
      <c r="D25" s="174">
        <f>'Lighting Calcs'!AB39</f>
        <v>70000</v>
      </c>
      <c r="E25" s="174">
        <f>C25-D25</f>
        <v>110000</v>
      </c>
      <c r="F25" s="206"/>
      <c r="G25" s="206"/>
    </row>
    <row r="26" spans="2:7" ht="15.75" customHeight="1" x14ac:dyDescent="0.25">
      <c r="B26" s="197" t="s">
        <v>208</v>
      </c>
      <c r="C26" s="198">
        <f>SUM(C24:C25)</f>
        <v>474956.1</v>
      </c>
      <c r="D26" s="198">
        <f>SUM(D24:D25)</f>
        <v>198412</v>
      </c>
      <c r="E26" s="198">
        <f>SUM(E24:E25)</f>
        <v>276544.09999999998</v>
      </c>
      <c r="F26" s="206"/>
      <c r="G26" s="206"/>
    </row>
    <row r="27" spans="2:7" ht="15.75" customHeight="1" x14ac:dyDescent="0.25">
      <c r="B27" s="188"/>
      <c r="C27" s="199"/>
      <c r="D27" s="199"/>
      <c r="E27" s="199"/>
      <c r="F27" s="206"/>
      <c r="G27" s="206"/>
    </row>
    <row r="28" spans="2:7" ht="15.75" customHeight="1" x14ac:dyDescent="0.25">
      <c r="B28" s="205" t="s">
        <v>176</v>
      </c>
      <c r="C28" s="206"/>
      <c r="D28" s="206"/>
      <c r="E28" s="206"/>
      <c r="F28" s="206"/>
      <c r="G28" s="206"/>
    </row>
    <row r="29" spans="2:7" ht="27.75" customHeight="1" x14ac:dyDescent="0.25">
      <c r="B29" s="208"/>
      <c r="C29" s="203" t="s">
        <v>246</v>
      </c>
      <c r="D29" s="203" t="s">
        <v>188</v>
      </c>
      <c r="E29" s="203" t="s">
        <v>189</v>
      </c>
      <c r="F29" s="203" t="s">
        <v>172</v>
      </c>
      <c r="G29" s="206"/>
    </row>
    <row r="30" spans="2:7" ht="15.75" customHeight="1" x14ac:dyDescent="0.25">
      <c r="B30" s="175" t="s">
        <v>186</v>
      </c>
      <c r="C30" s="179">
        <f>'Lighting Calcs'!G39</f>
        <v>1474780.5</v>
      </c>
      <c r="D30" s="179">
        <f>'Lighting Calcs'!X39</f>
        <v>642060</v>
      </c>
      <c r="E30" s="179">
        <f>C30-D30</f>
        <v>832720.5</v>
      </c>
      <c r="F30" s="209">
        <f>E30/C30</f>
        <v>0.56464029731882137</v>
      </c>
      <c r="G30" s="206"/>
    </row>
    <row r="31" spans="2:7" ht="15.75" customHeight="1" x14ac:dyDescent="0.25">
      <c r="B31" s="175" t="s">
        <v>210</v>
      </c>
      <c r="C31" s="179">
        <f>C30*VLOOKUP('Lighting Assumptions'!C14,'Lighting Assumptions'!B33:C40,2)/1000</f>
        <v>1401.0414749999998</v>
      </c>
      <c r="D31" s="179">
        <f>D30*VLOOKUP('Lighting Assumptions'!C14,'Lighting Assumptions'!B33:C40,2)/1000</f>
        <v>609.95699999999999</v>
      </c>
      <c r="E31" s="179">
        <f>E30*VLOOKUP('Lighting Assumptions'!C14,'Lighting Assumptions'!B33:C40,2)/1000</f>
        <v>791.084475</v>
      </c>
      <c r="F31" s="209">
        <f>E31/C31</f>
        <v>0.56464029731882148</v>
      </c>
      <c r="G31" s="206"/>
    </row>
    <row r="32" spans="2:7" ht="27.75" customHeight="1" x14ac:dyDescent="0.25">
      <c r="G32" s="206"/>
    </row>
  </sheetData>
  <pageMargins left="0.7" right="0.7" top="0.75" bottom="0.75" header="0.3" footer="0.3"/>
  <pageSetup paperSize="9" scale="56"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8D109-5F59-4AC7-9C49-E604BA84A0FF}">
  <sheetPr>
    <tabColor theme="4"/>
    <pageSetUpPr fitToPage="1"/>
  </sheetPr>
  <dimension ref="A1:P74"/>
  <sheetViews>
    <sheetView showGridLines="0" zoomScale="70" zoomScaleNormal="70" workbookViewId="0">
      <selection activeCell="J77" sqref="J77"/>
    </sheetView>
  </sheetViews>
  <sheetFormatPr defaultRowHeight="15" outlineLevelRow="1" x14ac:dyDescent="0.25"/>
  <cols>
    <col min="1" max="1" width="3.28515625" customWidth="1"/>
    <col min="2" max="2" width="3" customWidth="1"/>
    <col min="3" max="3" width="33" customWidth="1"/>
    <col min="4" max="4" width="11.5703125" style="13" customWidth="1"/>
    <col min="5" max="5" width="14.28515625" bestFit="1" customWidth="1"/>
    <col min="6" max="6" width="16.5703125" customWidth="1"/>
    <col min="7" max="16" width="16.85546875" customWidth="1"/>
  </cols>
  <sheetData>
    <row r="1" spans="1:16" ht="41.25" customHeight="1" x14ac:dyDescent="0.45">
      <c r="A1" s="211" t="s">
        <v>248</v>
      </c>
      <c r="B1" s="1"/>
      <c r="C1" s="1"/>
      <c r="D1" s="1"/>
      <c r="E1" s="1"/>
      <c r="F1" s="1"/>
      <c r="G1" s="1"/>
      <c r="H1" s="1"/>
      <c r="I1" s="1"/>
      <c r="J1" s="1"/>
      <c r="K1" s="1"/>
      <c r="L1" s="1"/>
      <c r="M1" s="1"/>
      <c r="N1" s="1"/>
      <c r="O1" s="1"/>
      <c r="P1" s="1"/>
    </row>
    <row r="2" spans="1:16" x14ac:dyDescent="0.25">
      <c r="D2"/>
    </row>
    <row r="3" spans="1:16" x14ac:dyDescent="0.25">
      <c r="C3" t="s">
        <v>280</v>
      </c>
      <c r="D3"/>
    </row>
    <row r="4" spans="1:16" x14ac:dyDescent="0.25">
      <c r="C4" t="s">
        <v>281</v>
      </c>
      <c r="D4"/>
    </row>
    <row r="5" spans="1:16" x14ac:dyDescent="0.25">
      <c r="D5"/>
    </row>
    <row r="6" spans="1:16" ht="15.75" thickBot="1" x14ac:dyDescent="0.3">
      <c r="C6" s="78" t="s">
        <v>71</v>
      </c>
      <c r="D6" s="79"/>
      <c r="E6" s="80"/>
    </row>
    <row r="7" spans="1:16" ht="15.75" thickBot="1" x14ac:dyDescent="0.3">
      <c r="C7" s="68" t="s">
        <v>65</v>
      </c>
      <c r="D7" s="38" t="s">
        <v>12</v>
      </c>
      <c r="E7" s="172">
        <f>'Lighting Outputs'!C18</f>
        <v>1096638.202</v>
      </c>
      <c r="G7" s="90" t="s">
        <v>72</v>
      </c>
      <c r="H7" s="91"/>
      <c r="I7" s="91"/>
      <c r="J7" s="92"/>
    </row>
    <row r="8" spans="1:16" x14ac:dyDescent="0.25">
      <c r="C8" s="82" t="s">
        <v>224</v>
      </c>
      <c r="D8" s="38" t="s">
        <v>12</v>
      </c>
      <c r="E8" s="84">
        <v>0</v>
      </c>
      <c r="G8" s="100" t="s">
        <v>70</v>
      </c>
      <c r="H8" s="101"/>
      <c r="I8" s="102"/>
      <c r="J8" s="103">
        <f>(E7-E8)</f>
        <v>1096638.202</v>
      </c>
    </row>
    <row r="9" spans="1:16" x14ac:dyDescent="0.25">
      <c r="C9" s="78" t="s">
        <v>29</v>
      </c>
      <c r="D9" s="79"/>
      <c r="E9" s="80"/>
      <c r="G9" s="87"/>
      <c r="H9" s="37"/>
      <c r="I9" s="96" t="s">
        <v>75</v>
      </c>
      <c r="J9" s="97" t="s">
        <v>73</v>
      </c>
    </row>
    <row r="10" spans="1:16" x14ac:dyDescent="0.25">
      <c r="C10" s="68" t="s">
        <v>13</v>
      </c>
      <c r="D10" s="38" t="s">
        <v>10</v>
      </c>
      <c r="E10" s="85">
        <v>10</v>
      </c>
      <c r="G10" s="87" t="s">
        <v>74</v>
      </c>
      <c r="H10" s="38"/>
      <c r="I10" s="93">
        <f>MAX($F$37:$P$37)</f>
        <v>2741.5955050000002</v>
      </c>
      <c r="J10" s="94">
        <f>$E$37</f>
        <v>2741.5955050000002</v>
      </c>
    </row>
    <row r="11" spans="1:16" ht="15.75" thickBot="1" x14ac:dyDescent="0.3">
      <c r="C11" s="68" t="s">
        <v>25</v>
      </c>
      <c r="D11" s="38" t="s">
        <v>11</v>
      </c>
      <c r="E11" s="170">
        <v>2.5000000000000001E-3</v>
      </c>
      <c r="G11" s="87" t="s">
        <v>76</v>
      </c>
      <c r="H11" s="37"/>
      <c r="I11" s="93">
        <f ca="1">MAX(OFFSET($F$30,,,,$E$10*P))</f>
        <v>46607.123585000008</v>
      </c>
      <c r="J11" s="94">
        <f>E30</f>
        <v>272296.60062525637</v>
      </c>
    </row>
    <row r="12" spans="1:16" ht="15.75" thickBot="1" x14ac:dyDescent="0.3">
      <c r="C12" s="71" t="s">
        <v>2</v>
      </c>
      <c r="D12" s="83" t="s">
        <v>11</v>
      </c>
      <c r="E12" s="171">
        <v>4.2500000000000003E-2</v>
      </c>
      <c r="G12" s="90" t="s">
        <v>77</v>
      </c>
      <c r="H12" s="91"/>
      <c r="I12" s="98">
        <f ca="1">MAX(OFFSET($F$47,,,,$E$10*P))</f>
        <v>136893.4802625257</v>
      </c>
      <c r="J12" s="99">
        <f>E47</f>
        <v>1368934.8026252564</v>
      </c>
    </row>
    <row r="13" spans="1:16" ht="15.75" thickBot="1" x14ac:dyDescent="0.3">
      <c r="A13" s="8"/>
      <c r="B13" s="8"/>
      <c r="C13" s="8"/>
      <c r="D13" s="14"/>
      <c r="E13" s="8"/>
      <c r="F13" s="8"/>
      <c r="G13" s="8"/>
      <c r="H13" s="8"/>
      <c r="I13" s="8"/>
      <c r="J13" s="8"/>
      <c r="K13" s="8"/>
      <c r="P13" s="8"/>
    </row>
    <row r="14" spans="1:16" ht="15.75" thickBot="1" x14ac:dyDescent="0.3">
      <c r="C14" s="78" t="s">
        <v>46</v>
      </c>
      <c r="D14" s="79"/>
      <c r="E14" s="80"/>
      <c r="G14" s="90" t="s">
        <v>252</v>
      </c>
      <c r="H14" s="91"/>
      <c r="I14" s="91"/>
      <c r="J14" s="92"/>
    </row>
    <row r="15" spans="1:16" x14ac:dyDescent="0.25">
      <c r="C15" s="68" t="s">
        <v>47</v>
      </c>
      <c r="D15" s="38" t="s">
        <v>10</v>
      </c>
      <c r="E15" s="168">
        <v>20</v>
      </c>
      <c r="G15" s="100" t="s">
        <v>79</v>
      </c>
      <c r="H15" s="102"/>
      <c r="I15" s="102"/>
      <c r="J15" s="118"/>
    </row>
    <row r="16" spans="1:16" x14ac:dyDescent="0.25">
      <c r="C16" s="68" t="s">
        <v>23</v>
      </c>
      <c r="D16" s="38" t="s">
        <v>38</v>
      </c>
      <c r="E16" s="168">
        <v>0</v>
      </c>
      <c r="G16" s="87"/>
      <c r="H16" s="37"/>
      <c r="I16" s="96" t="s">
        <v>223</v>
      </c>
      <c r="J16" s="97" t="s">
        <v>73</v>
      </c>
    </row>
    <row r="17" spans="1:16" x14ac:dyDescent="0.25">
      <c r="C17" s="71" t="s">
        <v>48</v>
      </c>
      <c r="D17" s="83" t="s">
        <v>38</v>
      </c>
      <c r="E17" s="173">
        <f>'Lighting Outputs'!E26</f>
        <v>276544.09999999998</v>
      </c>
      <c r="G17" s="110" t="s">
        <v>226</v>
      </c>
      <c r="H17" s="72"/>
      <c r="I17" s="111">
        <f>MAX(F50:P50)</f>
        <v>0</v>
      </c>
      <c r="J17" s="112">
        <f>E50</f>
        <v>0</v>
      </c>
      <c r="K17" s="119"/>
      <c r="O17" s="19"/>
    </row>
    <row r="18" spans="1:16" ht="15" customHeight="1" x14ac:dyDescent="0.25">
      <c r="C18" s="105" t="s">
        <v>78</v>
      </c>
      <c r="D18" s="106"/>
      <c r="E18" s="107"/>
      <c r="G18" s="113"/>
      <c r="H18" s="109"/>
      <c r="I18" s="37"/>
      <c r="J18" s="104"/>
    </row>
    <row r="19" spans="1:16" x14ac:dyDescent="0.25">
      <c r="C19" s="86" t="s">
        <v>42</v>
      </c>
      <c r="D19" s="39" t="s">
        <v>12</v>
      </c>
      <c r="E19" s="108">
        <v>0</v>
      </c>
      <c r="G19" s="113" t="s">
        <v>81</v>
      </c>
      <c r="H19" s="109"/>
      <c r="I19" s="114">
        <f>E17</f>
        <v>276544.09999999998</v>
      </c>
      <c r="J19" s="115">
        <f>E58</f>
        <v>2765441.0000000005</v>
      </c>
    </row>
    <row r="20" spans="1:16" ht="15.75" thickBot="1" x14ac:dyDescent="0.3">
      <c r="C20" s="68" t="s">
        <v>44</v>
      </c>
      <c r="D20" s="38" t="s">
        <v>38</v>
      </c>
      <c r="E20" s="81">
        <v>0</v>
      </c>
      <c r="F20" s="19"/>
      <c r="G20" s="88" t="str">
        <f>"Project NPV @ "&amp;TEXT($E$21,"0.00%")&amp;" Discount Rate"</f>
        <v>Project NPV @ 6.00% Discount Rate</v>
      </c>
      <c r="H20" s="89"/>
      <c r="I20" s="89"/>
      <c r="J20" s="95">
        <f>E72</f>
        <v>938750.44755513023</v>
      </c>
      <c r="K20" s="19" t="s">
        <v>49</v>
      </c>
      <c r="L20" s="37"/>
    </row>
    <row r="21" spans="1:16" x14ac:dyDescent="0.25">
      <c r="C21" s="71" t="s">
        <v>221</v>
      </c>
      <c r="D21" s="83" t="s">
        <v>11</v>
      </c>
      <c r="E21" s="169">
        <v>0.06</v>
      </c>
    </row>
    <row r="22" spans="1:16" x14ac:dyDescent="0.25">
      <c r="F22" s="19"/>
      <c r="G22" s="58"/>
    </row>
    <row r="23" spans="1:16" x14ac:dyDescent="0.25">
      <c r="A23" s="1"/>
      <c r="B23" s="1" t="s">
        <v>9</v>
      </c>
      <c r="C23" s="1"/>
      <c r="D23" s="12"/>
      <c r="E23" s="1"/>
      <c r="F23" s="2">
        <f>F25</f>
        <v>0</v>
      </c>
      <c r="G23" s="2">
        <f t="shared" ref="G23:P23" si="0">G25</f>
        <v>1</v>
      </c>
      <c r="H23" s="2">
        <f t="shared" si="0"/>
        <v>2</v>
      </c>
      <c r="I23" s="2">
        <f t="shared" si="0"/>
        <v>3</v>
      </c>
      <c r="J23" s="2">
        <f t="shared" si="0"/>
        <v>4</v>
      </c>
      <c r="K23" s="2">
        <f t="shared" si="0"/>
        <v>5</v>
      </c>
      <c r="L23" s="2">
        <f t="shared" si="0"/>
        <v>6</v>
      </c>
      <c r="M23" s="2">
        <f t="shared" si="0"/>
        <v>7</v>
      </c>
      <c r="N23" s="2">
        <f t="shared" si="0"/>
        <v>8</v>
      </c>
      <c r="O23" s="2">
        <f t="shared" si="0"/>
        <v>9</v>
      </c>
      <c r="P23" s="2">
        <f t="shared" si="0"/>
        <v>10</v>
      </c>
    </row>
    <row r="24" spans="1:16" hidden="1" outlineLevel="1" x14ac:dyDescent="0.25">
      <c r="D24" s="19"/>
    </row>
    <row r="25" spans="1:16" hidden="1" outlineLevel="1" x14ac:dyDescent="0.25">
      <c r="C25" s="10" t="s">
        <v>0</v>
      </c>
      <c r="D25" s="11" t="s">
        <v>1</v>
      </c>
      <c r="E25" s="9"/>
      <c r="F25" s="10">
        <v>0</v>
      </c>
      <c r="G25" s="10">
        <f>F25+1</f>
        <v>1</v>
      </c>
      <c r="H25" s="10">
        <f t="shared" ref="H25:P25" si="1">G25+1</f>
        <v>2</v>
      </c>
      <c r="I25" s="10">
        <f t="shared" si="1"/>
        <v>3</v>
      </c>
      <c r="J25" s="10">
        <f t="shared" si="1"/>
        <v>4</v>
      </c>
      <c r="K25" s="10">
        <f t="shared" si="1"/>
        <v>5</v>
      </c>
      <c r="L25" s="10">
        <f t="shared" si="1"/>
        <v>6</v>
      </c>
      <c r="M25" s="10">
        <f t="shared" si="1"/>
        <v>7</v>
      </c>
      <c r="N25" s="10">
        <f t="shared" si="1"/>
        <v>8</v>
      </c>
      <c r="O25" s="10">
        <f t="shared" si="1"/>
        <v>9</v>
      </c>
      <c r="P25" s="10">
        <f t="shared" si="1"/>
        <v>10</v>
      </c>
    </row>
    <row r="26" spans="1:16" hidden="1" outlineLevel="1" x14ac:dyDescent="0.25">
      <c r="C26" s="10" t="s">
        <v>18</v>
      </c>
      <c r="D26" s="59" t="s">
        <v>1</v>
      </c>
      <c r="E26" s="9"/>
      <c r="F26" s="10">
        <f t="shared" ref="F26:P26" si="2">IF(AND(F$25&gt;0,F$25&lt;=(($E$10))),($E$10-(F$25-1)),0)</f>
        <v>0</v>
      </c>
      <c r="G26" s="10">
        <f t="shared" si="2"/>
        <v>10</v>
      </c>
      <c r="H26" s="10">
        <f t="shared" si="2"/>
        <v>9</v>
      </c>
      <c r="I26" s="10">
        <f t="shared" si="2"/>
        <v>8</v>
      </c>
      <c r="J26" s="10">
        <f t="shared" si="2"/>
        <v>7</v>
      </c>
      <c r="K26" s="10">
        <f t="shared" si="2"/>
        <v>6</v>
      </c>
      <c r="L26" s="10">
        <f t="shared" si="2"/>
        <v>5</v>
      </c>
      <c r="M26" s="10">
        <f t="shared" si="2"/>
        <v>4</v>
      </c>
      <c r="N26" s="10">
        <f t="shared" si="2"/>
        <v>3</v>
      </c>
      <c r="O26" s="10">
        <f t="shared" si="2"/>
        <v>2</v>
      </c>
      <c r="P26" s="10">
        <f t="shared" si="2"/>
        <v>1</v>
      </c>
    </row>
    <row r="27" spans="1:16" hidden="1" outlineLevel="1" x14ac:dyDescent="0.25">
      <c r="B27" s="3" t="s">
        <v>69</v>
      </c>
      <c r="D27" s="19"/>
    </row>
    <row r="28" spans="1:16" s="3" customFormat="1" hidden="1" outlineLevel="1" x14ac:dyDescent="0.25">
      <c r="C28" s="3" t="s">
        <v>3</v>
      </c>
      <c r="D28" s="15" t="s">
        <v>12</v>
      </c>
      <c r="F28" s="6">
        <v>0</v>
      </c>
      <c r="G28" s="6">
        <f>F33</f>
        <v>1096638.202</v>
      </c>
      <c r="H28" s="6">
        <f>G33</f>
        <v>1006351.8453224744</v>
      </c>
      <c r="I28" s="6">
        <f t="shared" ref="I28:P28" si="3">H33</f>
        <v>912228.31848615385</v>
      </c>
      <c r="J28" s="6">
        <f t="shared" si="3"/>
        <v>814104.5417592898</v>
      </c>
      <c r="K28" s="6">
        <f t="shared" si="3"/>
        <v>711810.50452153396</v>
      </c>
      <c r="L28" s="6">
        <f t="shared" si="3"/>
        <v>605168.97070117353</v>
      </c>
      <c r="M28" s="6">
        <f t="shared" si="3"/>
        <v>493995.1716934478</v>
      </c>
      <c r="N28" s="6">
        <f t="shared" si="3"/>
        <v>378096.48622789374</v>
      </c>
      <c r="O28" s="6">
        <f t="shared" si="3"/>
        <v>257272.1066300536</v>
      </c>
      <c r="P28" s="6">
        <f t="shared" si="3"/>
        <v>131312.69089930522</v>
      </c>
    </row>
    <row r="29" spans="1:16" hidden="1" outlineLevel="1" x14ac:dyDescent="0.25">
      <c r="C29" t="s">
        <v>4</v>
      </c>
      <c r="D29" s="15" t="s">
        <v>12</v>
      </c>
      <c r="F29" s="22">
        <f>IF(F23=0,$J$8,0)</f>
        <v>1096638.202</v>
      </c>
      <c r="G29" s="22">
        <f t="shared" ref="G29:P29" si="4">IF(G23=0,$E$7,0)</f>
        <v>0</v>
      </c>
      <c r="H29" s="22">
        <f t="shared" si="4"/>
        <v>0</v>
      </c>
      <c r="I29" s="22">
        <f t="shared" si="4"/>
        <v>0</v>
      </c>
      <c r="J29" s="22">
        <f t="shared" si="4"/>
        <v>0</v>
      </c>
      <c r="K29" s="22">
        <f t="shared" si="4"/>
        <v>0</v>
      </c>
      <c r="L29" s="22">
        <f t="shared" si="4"/>
        <v>0</v>
      </c>
      <c r="M29" s="22">
        <f t="shared" si="4"/>
        <v>0</v>
      </c>
      <c r="N29" s="22">
        <f t="shared" si="4"/>
        <v>0</v>
      </c>
      <c r="O29" s="22">
        <f t="shared" si="4"/>
        <v>0</v>
      </c>
      <c r="P29" s="22">
        <f t="shared" si="4"/>
        <v>0</v>
      </c>
    </row>
    <row r="30" spans="1:16" hidden="1" outlineLevel="1" x14ac:dyDescent="0.25">
      <c r="C30" t="s">
        <v>5</v>
      </c>
      <c r="D30" s="15" t="s">
        <v>12</v>
      </c>
      <c r="E30" s="17">
        <f>SUM(F30:P30)</f>
        <v>272296.60062525637</v>
      </c>
      <c r="F30" s="7">
        <f>F28*($E$12)</f>
        <v>0</v>
      </c>
      <c r="G30" s="7">
        <f>G28*($E$12)</f>
        <v>46607.123585000008</v>
      </c>
      <c r="H30" s="7">
        <f>H28*($E$12)</f>
        <v>42769.953426205167</v>
      </c>
      <c r="I30" s="7">
        <f t="shared" ref="I30:P30" si="5">I28*($E$12)</f>
        <v>38769.703535661538</v>
      </c>
      <c r="J30" s="7">
        <f t="shared" si="5"/>
        <v>34599.443024769818</v>
      </c>
      <c r="K30" s="7">
        <f t="shared" si="5"/>
        <v>30251.946442165197</v>
      </c>
      <c r="L30" s="7">
        <f t="shared" si="5"/>
        <v>25719.681254799878</v>
      </c>
      <c r="M30" s="7">
        <f t="shared" si="5"/>
        <v>20994.794796971531</v>
      </c>
      <c r="N30" s="7">
        <f t="shared" si="5"/>
        <v>16069.100664685486</v>
      </c>
      <c r="O30" s="7">
        <f t="shared" si="5"/>
        <v>10934.06453177728</v>
      </c>
      <c r="P30" s="7">
        <f t="shared" si="5"/>
        <v>5580.7893632204723</v>
      </c>
    </row>
    <row r="31" spans="1:16" hidden="1" outlineLevel="1" x14ac:dyDescent="0.25">
      <c r="C31" t="s">
        <v>6</v>
      </c>
      <c r="D31" s="15" t="s">
        <v>12</v>
      </c>
      <c r="E31" s="17">
        <f>SUM(F31:P31)</f>
        <v>-272296.60062525637</v>
      </c>
      <c r="F31" s="7">
        <f>-F30</f>
        <v>0</v>
      </c>
      <c r="G31" s="7">
        <f t="shared" ref="G31:P31" si="6">-G30</f>
        <v>-46607.123585000008</v>
      </c>
      <c r="H31" s="7">
        <f t="shared" si="6"/>
        <v>-42769.953426205167</v>
      </c>
      <c r="I31" s="7">
        <f t="shared" si="6"/>
        <v>-38769.703535661538</v>
      </c>
      <c r="J31" s="7">
        <f t="shared" si="6"/>
        <v>-34599.443024769818</v>
      </c>
      <c r="K31" s="7">
        <f t="shared" si="6"/>
        <v>-30251.946442165197</v>
      </c>
      <c r="L31" s="7">
        <f t="shared" si="6"/>
        <v>-25719.681254799878</v>
      </c>
      <c r="M31" s="7">
        <f t="shared" si="6"/>
        <v>-20994.794796971531</v>
      </c>
      <c r="N31" s="7">
        <f t="shared" si="6"/>
        <v>-16069.100664685486</v>
      </c>
      <c r="O31" s="7">
        <f t="shared" si="6"/>
        <v>-10934.06453177728</v>
      </c>
      <c r="P31" s="7">
        <f t="shared" si="6"/>
        <v>-5580.7893632204723</v>
      </c>
    </row>
    <row r="32" spans="1:16" hidden="1" outlineLevel="1" x14ac:dyDescent="0.25">
      <c r="C32" t="s">
        <v>7</v>
      </c>
      <c r="D32" s="15" t="s">
        <v>12</v>
      </c>
      <c r="E32" s="17">
        <f>SUM(F32:P32)</f>
        <v>-1096638.202</v>
      </c>
      <c r="F32" s="7">
        <f t="shared" ref="F32:P32" si="7">IF(AND(F28&gt;0),PPMT(($E$12),1,F$26,F28,0,0),0)</f>
        <v>0</v>
      </c>
      <c r="G32" s="7">
        <f t="shared" si="7"/>
        <v>-90286.356677525633</v>
      </c>
      <c r="H32" s="7">
        <f t="shared" si="7"/>
        <v>-94123.526836320467</v>
      </c>
      <c r="I32" s="7">
        <f t="shared" si="7"/>
        <v>-98123.77672686406</v>
      </c>
      <c r="J32" s="7">
        <f t="shared" si="7"/>
        <v>-102294.03723775582</v>
      </c>
      <c r="K32" s="7">
        <f t="shared" si="7"/>
        <v>-106641.5338203604</v>
      </c>
      <c r="L32" s="7">
        <f t="shared" si="7"/>
        <v>-111173.79900772574</v>
      </c>
      <c r="M32" s="7">
        <f t="shared" si="7"/>
        <v>-115898.6854655541</v>
      </c>
      <c r="N32" s="7">
        <f t="shared" si="7"/>
        <v>-120824.37959784015</v>
      </c>
      <c r="O32" s="7">
        <f t="shared" si="7"/>
        <v>-125959.41573074838</v>
      </c>
      <c r="P32" s="7">
        <f t="shared" si="7"/>
        <v>-131312.69089930522</v>
      </c>
    </row>
    <row r="33" spans="1:16" s="3" customFormat="1" hidden="1" outlineLevel="1" x14ac:dyDescent="0.25">
      <c r="C33" s="3" t="s">
        <v>8</v>
      </c>
      <c r="D33" s="15" t="s">
        <v>12</v>
      </c>
      <c r="F33" s="6">
        <f>SUM(F28:F32)</f>
        <v>1096638.202</v>
      </c>
      <c r="G33" s="6">
        <f>SUM(G28:G32)</f>
        <v>1006351.8453224744</v>
      </c>
      <c r="H33" s="6">
        <f t="shared" ref="H33:P33" si="8">SUM(H28:H32)</f>
        <v>912228.31848615385</v>
      </c>
      <c r="I33" s="6">
        <f t="shared" si="8"/>
        <v>814104.5417592898</v>
      </c>
      <c r="J33" s="6">
        <f t="shared" si="8"/>
        <v>711810.50452153396</v>
      </c>
      <c r="K33" s="6">
        <f t="shared" si="8"/>
        <v>605168.97070117353</v>
      </c>
      <c r="L33" s="6">
        <f t="shared" si="8"/>
        <v>493995.1716934478</v>
      </c>
      <c r="M33" s="6">
        <f t="shared" si="8"/>
        <v>378096.48622789374</v>
      </c>
      <c r="N33" s="6">
        <f t="shared" si="8"/>
        <v>257272.1066300536</v>
      </c>
      <c r="O33" s="6">
        <f t="shared" si="8"/>
        <v>131312.69089930522</v>
      </c>
      <c r="P33" s="6">
        <f t="shared" si="8"/>
        <v>0</v>
      </c>
    </row>
    <row r="34" spans="1:16" hidden="1" outlineLevel="1" x14ac:dyDescent="0.25">
      <c r="D34"/>
    </row>
    <row r="35" spans="1:16" s="3" customFormat="1" hidden="1" outlineLevel="1" x14ac:dyDescent="0.25">
      <c r="B35" s="3" t="s">
        <v>24</v>
      </c>
      <c r="D35" s="20"/>
      <c r="F35" s="6"/>
      <c r="G35" s="6"/>
      <c r="H35" s="6"/>
      <c r="I35" s="6"/>
      <c r="J35" s="6"/>
      <c r="K35" s="6"/>
      <c r="L35" s="6"/>
      <c r="M35" s="6"/>
      <c r="N35" s="6"/>
      <c r="O35" s="6"/>
      <c r="P35" s="6"/>
    </row>
    <row r="36" spans="1:16" s="3" customFormat="1" hidden="1" outlineLevel="1" x14ac:dyDescent="0.25">
      <c r="C36" s="4" t="s">
        <v>28</v>
      </c>
      <c r="D36" s="15" t="s">
        <v>12</v>
      </c>
      <c r="E36" s="17"/>
      <c r="F36" s="23">
        <f>$J$8-SUM($F29:F29)</f>
        <v>0</v>
      </c>
      <c r="G36" s="23">
        <f>$J$8-SUM($F29:G29)</f>
        <v>0</v>
      </c>
      <c r="H36" s="23">
        <f>$J$8-SUM($F29:H29)</f>
        <v>0</v>
      </c>
      <c r="I36" s="23">
        <f>$J$8-SUM($F29:I29)</f>
        <v>0</v>
      </c>
      <c r="J36" s="23">
        <f>$J$8-SUM($F29:J29)</f>
        <v>0</v>
      </c>
      <c r="K36" s="23">
        <f>$J$8-SUM($F29:K29)</f>
        <v>0</v>
      </c>
      <c r="L36" s="23">
        <f>$J$8-SUM($F29:L29)</f>
        <v>0</v>
      </c>
      <c r="M36" s="23">
        <f>$J$8-SUM($F29:M29)</f>
        <v>0</v>
      </c>
      <c r="N36" s="23">
        <f>$J$8-SUM($F29:N29)</f>
        <v>0</v>
      </c>
      <c r="O36" s="23">
        <f>$J$8-SUM($F29:O29)</f>
        <v>0</v>
      </c>
      <c r="P36" s="23">
        <f>$J$8-SUM($F29:P29)</f>
        <v>0</v>
      </c>
    </row>
    <row r="37" spans="1:16" s="3" customFormat="1" hidden="1" outlineLevel="1" x14ac:dyDescent="0.25">
      <c r="C37" s="4" t="s">
        <v>25</v>
      </c>
      <c r="D37" s="15" t="s">
        <v>12</v>
      </c>
      <c r="E37" s="17">
        <f>SUM(F37:P37)</f>
        <v>2741.5955050000002</v>
      </c>
      <c r="F37" s="23">
        <f>$J$8*$E11</f>
        <v>2741.5955050000002</v>
      </c>
      <c r="G37" s="23"/>
      <c r="H37" s="23"/>
      <c r="I37" s="23"/>
      <c r="J37" s="23"/>
      <c r="K37" s="23"/>
      <c r="L37" s="23"/>
      <c r="M37" s="23"/>
      <c r="N37" s="23"/>
      <c r="O37" s="23"/>
      <c r="P37" s="23"/>
    </row>
    <row r="38" spans="1:16" s="3" customFormat="1" hidden="1" outlineLevel="1" x14ac:dyDescent="0.25">
      <c r="C38" s="3" t="s">
        <v>27</v>
      </c>
      <c r="D38" s="15" t="s">
        <v>12</v>
      </c>
      <c r="E38" s="36">
        <f>SUM(F38:P38)</f>
        <v>2741.5955050000002</v>
      </c>
      <c r="F38" s="6">
        <f t="shared" ref="F38:P38" si="9">SUM(F37:F37)</f>
        <v>2741.5955050000002</v>
      </c>
      <c r="G38" s="6">
        <f t="shared" si="9"/>
        <v>0</v>
      </c>
      <c r="H38" s="6">
        <f t="shared" si="9"/>
        <v>0</v>
      </c>
      <c r="I38" s="6">
        <f t="shared" si="9"/>
        <v>0</v>
      </c>
      <c r="J38" s="6">
        <f t="shared" si="9"/>
        <v>0</v>
      </c>
      <c r="K38" s="6">
        <f t="shared" si="9"/>
        <v>0</v>
      </c>
      <c r="L38" s="6">
        <f t="shared" si="9"/>
        <v>0</v>
      </c>
      <c r="M38" s="6">
        <f t="shared" si="9"/>
        <v>0</v>
      </c>
      <c r="N38" s="6">
        <f t="shared" si="9"/>
        <v>0</v>
      </c>
      <c r="O38" s="6">
        <f t="shared" si="9"/>
        <v>0</v>
      </c>
      <c r="P38" s="6">
        <f t="shared" si="9"/>
        <v>0</v>
      </c>
    </row>
    <row r="39" spans="1:16" s="3" customFormat="1" collapsed="1" x14ac:dyDescent="0.25">
      <c r="C39" s="119" t="s">
        <v>82</v>
      </c>
      <c r="D39" s="20"/>
      <c r="F39" s="23"/>
      <c r="G39" s="23"/>
      <c r="H39" s="23"/>
      <c r="I39" s="23"/>
      <c r="J39" s="23"/>
      <c r="K39" s="23"/>
      <c r="L39" s="23"/>
      <c r="M39" s="23"/>
      <c r="N39" s="23"/>
      <c r="O39" s="23"/>
      <c r="P39" s="23"/>
    </row>
    <row r="40" spans="1:16" x14ac:dyDescent="0.25">
      <c r="A40" s="1" t="s">
        <v>19</v>
      </c>
      <c r="B40" s="1"/>
      <c r="C40" s="1"/>
      <c r="D40" s="12"/>
      <c r="E40" s="1"/>
      <c r="F40" s="2"/>
      <c r="G40" s="2"/>
      <c r="H40" s="2"/>
      <c r="I40" s="2"/>
      <c r="J40" s="2"/>
      <c r="K40" s="2"/>
      <c r="L40" s="2"/>
      <c r="M40" s="2"/>
      <c r="N40" s="2"/>
      <c r="O40" s="2"/>
      <c r="P40" s="2"/>
    </row>
    <row r="41" spans="1:16" x14ac:dyDescent="0.25">
      <c r="D41" s="19"/>
      <c r="E41" s="116" t="s">
        <v>80</v>
      </c>
    </row>
    <row r="42" spans="1:16" outlineLevel="1" x14ac:dyDescent="0.25">
      <c r="C42" s="4" t="s">
        <v>50</v>
      </c>
      <c r="D42" s="15" t="s">
        <v>12</v>
      </c>
      <c r="E42" s="17">
        <f t="shared" ref="E42:E47" si="10">SUM(F42:P42)</f>
        <v>2765441.0000000005</v>
      </c>
      <c r="F42" s="7">
        <f>F58</f>
        <v>0</v>
      </c>
      <c r="G42" s="7">
        <f t="shared" ref="G42:P42" si="11">G58</f>
        <v>276544.09999999998</v>
      </c>
      <c r="H42" s="7">
        <f t="shared" si="11"/>
        <v>276544.09999999998</v>
      </c>
      <c r="I42" s="7">
        <f t="shared" si="11"/>
        <v>276544.09999999998</v>
      </c>
      <c r="J42" s="7">
        <f t="shared" si="11"/>
        <v>276544.09999999998</v>
      </c>
      <c r="K42" s="7">
        <f t="shared" si="11"/>
        <v>276544.09999999998</v>
      </c>
      <c r="L42" s="7">
        <f t="shared" si="11"/>
        <v>276544.09999999998</v>
      </c>
      <c r="M42" s="7">
        <f t="shared" si="11"/>
        <v>276544.09999999998</v>
      </c>
      <c r="N42" s="7">
        <f t="shared" si="11"/>
        <v>276544.09999999998</v>
      </c>
      <c r="O42" s="7">
        <f t="shared" si="11"/>
        <v>276544.09999999998</v>
      </c>
      <c r="P42" s="7">
        <f t="shared" si="11"/>
        <v>276544.09999999998</v>
      </c>
    </row>
    <row r="43" spans="1:16" outlineLevel="1" x14ac:dyDescent="0.25">
      <c r="C43" s="4" t="s">
        <v>25</v>
      </c>
      <c r="D43" s="15" t="s">
        <v>12</v>
      </c>
      <c r="E43" s="17">
        <f t="shared" si="10"/>
        <v>2741.5955050000002</v>
      </c>
      <c r="F43" s="7">
        <f t="shared" ref="F43:P43" si="12">F37</f>
        <v>2741.5955050000002</v>
      </c>
      <c r="G43" s="7">
        <f t="shared" si="12"/>
        <v>0</v>
      </c>
      <c r="H43" s="7">
        <f t="shared" si="12"/>
        <v>0</v>
      </c>
      <c r="I43" s="7">
        <f t="shared" si="12"/>
        <v>0</v>
      </c>
      <c r="J43" s="7">
        <f t="shared" si="12"/>
        <v>0</v>
      </c>
      <c r="K43" s="7">
        <f t="shared" si="12"/>
        <v>0</v>
      </c>
      <c r="L43" s="7">
        <f t="shared" si="12"/>
        <v>0</v>
      </c>
      <c r="M43" s="7">
        <f t="shared" si="12"/>
        <v>0</v>
      </c>
      <c r="N43" s="7">
        <f t="shared" si="12"/>
        <v>0</v>
      </c>
      <c r="O43" s="7">
        <f t="shared" si="12"/>
        <v>0</v>
      </c>
      <c r="P43" s="7">
        <f t="shared" si="12"/>
        <v>0</v>
      </c>
    </row>
    <row r="44" spans="1:16" outlineLevel="1" x14ac:dyDescent="0.25">
      <c r="C44" s="4" t="s">
        <v>27</v>
      </c>
      <c r="D44" s="15" t="s">
        <v>12</v>
      </c>
      <c r="E44" s="17">
        <f t="shared" si="10"/>
        <v>2741.5955050000002</v>
      </c>
      <c r="F44" s="7">
        <f t="shared" ref="F44:P44" si="13">F38</f>
        <v>2741.5955050000002</v>
      </c>
      <c r="G44" s="7">
        <f t="shared" si="13"/>
        <v>0</v>
      </c>
      <c r="H44" s="7">
        <f t="shared" si="13"/>
        <v>0</v>
      </c>
      <c r="I44" s="7">
        <f t="shared" si="13"/>
        <v>0</v>
      </c>
      <c r="J44" s="7">
        <f t="shared" si="13"/>
        <v>0</v>
      </c>
      <c r="K44" s="7">
        <f t="shared" si="13"/>
        <v>0</v>
      </c>
      <c r="L44" s="7">
        <f t="shared" si="13"/>
        <v>0</v>
      </c>
      <c r="M44" s="7">
        <f t="shared" si="13"/>
        <v>0</v>
      </c>
      <c r="N44" s="7">
        <f t="shared" si="13"/>
        <v>0</v>
      </c>
      <c r="O44" s="7">
        <f t="shared" si="13"/>
        <v>0</v>
      </c>
      <c r="P44" s="7">
        <f t="shared" si="13"/>
        <v>0</v>
      </c>
    </row>
    <row r="45" spans="1:16" outlineLevel="1" x14ac:dyDescent="0.25">
      <c r="C45" t="s">
        <v>20</v>
      </c>
      <c r="D45" s="15" t="s">
        <v>12</v>
      </c>
      <c r="E45" s="17">
        <f t="shared" si="10"/>
        <v>272296.60062525637</v>
      </c>
      <c r="F45" s="7">
        <f t="shared" ref="F45:P45" si="14">-F31</f>
        <v>0</v>
      </c>
      <c r="G45" s="7">
        <f t="shared" si="14"/>
        <v>46607.123585000008</v>
      </c>
      <c r="H45" s="7">
        <f t="shared" si="14"/>
        <v>42769.953426205167</v>
      </c>
      <c r="I45" s="7">
        <f t="shared" si="14"/>
        <v>38769.703535661538</v>
      </c>
      <c r="J45" s="7">
        <f t="shared" si="14"/>
        <v>34599.443024769818</v>
      </c>
      <c r="K45" s="7">
        <f t="shared" si="14"/>
        <v>30251.946442165197</v>
      </c>
      <c r="L45" s="7">
        <f t="shared" si="14"/>
        <v>25719.681254799878</v>
      </c>
      <c r="M45" s="7">
        <f t="shared" si="14"/>
        <v>20994.794796971531</v>
      </c>
      <c r="N45" s="7">
        <f t="shared" si="14"/>
        <v>16069.100664685486</v>
      </c>
      <c r="O45" s="7">
        <f t="shared" si="14"/>
        <v>10934.06453177728</v>
      </c>
      <c r="P45" s="7">
        <f t="shared" si="14"/>
        <v>5580.7893632204723</v>
      </c>
    </row>
    <row r="46" spans="1:16" outlineLevel="1" x14ac:dyDescent="0.25">
      <c r="C46" t="s">
        <v>36</v>
      </c>
      <c r="D46" s="15" t="s">
        <v>12</v>
      </c>
      <c r="E46" s="17">
        <f t="shared" si="10"/>
        <v>1096638.202</v>
      </c>
      <c r="F46" s="7">
        <f t="shared" ref="F46:P46" si="15">-F32</f>
        <v>0</v>
      </c>
      <c r="G46" s="7">
        <f t="shared" si="15"/>
        <v>90286.356677525633</v>
      </c>
      <c r="H46" s="7">
        <f t="shared" si="15"/>
        <v>94123.526836320467</v>
      </c>
      <c r="I46" s="7">
        <f t="shared" si="15"/>
        <v>98123.77672686406</v>
      </c>
      <c r="J46" s="7">
        <f t="shared" si="15"/>
        <v>102294.03723775582</v>
      </c>
      <c r="K46" s="7">
        <f t="shared" si="15"/>
        <v>106641.5338203604</v>
      </c>
      <c r="L46" s="7">
        <f t="shared" si="15"/>
        <v>111173.79900772574</v>
      </c>
      <c r="M46" s="7">
        <f t="shared" si="15"/>
        <v>115898.6854655541</v>
      </c>
      <c r="N46" s="7">
        <f t="shared" si="15"/>
        <v>120824.37959784015</v>
      </c>
      <c r="O46" s="7">
        <f t="shared" si="15"/>
        <v>125959.41573074838</v>
      </c>
      <c r="P46" s="7">
        <f t="shared" si="15"/>
        <v>131312.69089930522</v>
      </c>
    </row>
    <row r="47" spans="1:16" outlineLevel="1" x14ac:dyDescent="0.25">
      <c r="C47" t="s">
        <v>21</v>
      </c>
      <c r="D47" s="15" t="s">
        <v>12</v>
      </c>
      <c r="E47" s="17">
        <f t="shared" si="10"/>
        <v>1368934.8026252564</v>
      </c>
      <c r="F47" s="7">
        <f t="shared" ref="F47:P47" si="16">-SUM(F31:F32)</f>
        <v>0</v>
      </c>
      <c r="G47" s="7">
        <f t="shared" si="16"/>
        <v>136893.48026252564</v>
      </c>
      <c r="H47" s="7">
        <f t="shared" si="16"/>
        <v>136893.48026252564</v>
      </c>
      <c r="I47" s="7">
        <f t="shared" si="16"/>
        <v>136893.48026252561</v>
      </c>
      <c r="J47" s="7">
        <f t="shared" si="16"/>
        <v>136893.48026252564</v>
      </c>
      <c r="K47" s="7">
        <f t="shared" si="16"/>
        <v>136893.48026252561</v>
      </c>
      <c r="L47" s="7">
        <f t="shared" si="16"/>
        <v>136893.48026252561</v>
      </c>
      <c r="M47" s="7">
        <f t="shared" si="16"/>
        <v>136893.48026252561</v>
      </c>
      <c r="N47" s="7">
        <f t="shared" si="16"/>
        <v>136893.48026252564</v>
      </c>
      <c r="O47" s="7">
        <f t="shared" si="16"/>
        <v>136893.48026252567</v>
      </c>
      <c r="P47" s="7">
        <f t="shared" si="16"/>
        <v>136893.4802625257</v>
      </c>
    </row>
    <row r="48" spans="1:16" outlineLevel="1" x14ac:dyDescent="0.25">
      <c r="C48" t="s">
        <v>37</v>
      </c>
      <c r="D48" s="15" t="s">
        <v>12</v>
      </c>
      <c r="F48" s="7">
        <f>F33</f>
        <v>1096638.202</v>
      </c>
      <c r="G48" s="7">
        <f t="shared" ref="G48:P48" si="17">G33</f>
        <v>1006351.8453224744</v>
      </c>
      <c r="H48" s="7">
        <f t="shared" si="17"/>
        <v>912228.31848615385</v>
      </c>
      <c r="I48" s="7">
        <f t="shared" si="17"/>
        <v>814104.5417592898</v>
      </c>
      <c r="J48" s="7">
        <f t="shared" si="17"/>
        <v>711810.50452153396</v>
      </c>
      <c r="K48" s="7">
        <f t="shared" si="17"/>
        <v>605168.97070117353</v>
      </c>
      <c r="L48" s="7">
        <f t="shared" si="17"/>
        <v>493995.1716934478</v>
      </c>
      <c r="M48" s="7">
        <f t="shared" si="17"/>
        <v>378096.48622789374</v>
      </c>
      <c r="N48" s="7">
        <f t="shared" si="17"/>
        <v>257272.1066300536</v>
      </c>
      <c r="O48" s="7">
        <f t="shared" si="17"/>
        <v>131312.69089930522</v>
      </c>
      <c r="P48" s="7">
        <f t="shared" si="17"/>
        <v>0</v>
      </c>
    </row>
    <row r="49" spans="1:16" s="3" customFormat="1" x14ac:dyDescent="0.25">
      <c r="E49" s="5"/>
    </row>
    <row r="50" spans="1:16" s="3" customFormat="1" x14ac:dyDescent="0.25">
      <c r="C50" s="43" t="s">
        <v>222</v>
      </c>
      <c r="D50" s="60"/>
      <c r="E50" s="61">
        <f>MAX(SUM(G50:P50),0)</f>
        <v>0</v>
      </c>
      <c r="F50" s="53">
        <f t="shared" ref="F50:P50" si="18">(SUM(F$44:F$46)-MAX(0,F$42))*(F28&gt;0*1)</f>
        <v>0</v>
      </c>
      <c r="G50" s="53">
        <f>(SUM(G$44:G$46)-MAX(0,G$42))*(G28&gt;0*1)</f>
        <v>-139650.61973747434</v>
      </c>
      <c r="H50" s="53">
        <f t="shared" si="18"/>
        <v>-139650.61973747434</v>
      </c>
      <c r="I50" s="53">
        <f t="shared" si="18"/>
        <v>-139650.61973747436</v>
      </c>
      <c r="J50" s="53">
        <f t="shared" si="18"/>
        <v>-139650.61973747434</v>
      </c>
      <c r="K50" s="53">
        <f t="shared" si="18"/>
        <v>-139650.61973747436</v>
      </c>
      <c r="L50" s="53">
        <f t="shared" si="18"/>
        <v>-139650.61973747436</v>
      </c>
      <c r="M50" s="53">
        <f t="shared" si="18"/>
        <v>-139650.61973747436</v>
      </c>
      <c r="N50" s="53">
        <f t="shared" si="18"/>
        <v>-139650.61973747434</v>
      </c>
      <c r="O50" s="53">
        <f t="shared" si="18"/>
        <v>-139650.61973747431</v>
      </c>
      <c r="P50" s="53">
        <f t="shared" si="18"/>
        <v>-139650.61973747428</v>
      </c>
    </row>
    <row r="51" spans="1:16" s="3" customFormat="1" x14ac:dyDescent="0.25">
      <c r="C51" s="119" t="s">
        <v>82</v>
      </c>
    </row>
    <row r="52" spans="1:16" x14ac:dyDescent="0.25">
      <c r="A52" s="1" t="s">
        <v>35</v>
      </c>
      <c r="B52" s="1"/>
      <c r="C52" s="1"/>
      <c r="D52" s="12"/>
      <c r="E52" s="117" t="s">
        <v>80</v>
      </c>
      <c r="F52" s="2"/>
      <c r="G52" s="2"/>
      <c r="H52" s="2"/>
      <c r="I52" s="2"/>
      <c r="J52" s="2"/>
      <c r="K52" s="2"/>
      <c r="L52" s="2"/>
      <c r="M52" s="2"/>
      <c r="N52" s="2"/>
      <c r="O52" s="2"/>
      <c r="P52" s="2"/>
    </row>
    <row r="53" spans="1:16" x14ac:dyDescent="0.25">
      <c r="A53" s="9"/>
      <c r="B53" s="9"/>
    </row>
    <row r="54" spans="1:16" ht="14.25" hidden="1" customHeight="1" outlineLevel="1" x14ac:dyDescent="0.25">
      <c r="A54" s="9"/>
      <c r="B54" s="18" t="s">
        <v>26</v>
      </c>
      <c r="C54" s="18"/>
      <c r="D54" s="31"/>
      <c r="E54" s="30"/>
      <c r="F54" s="30"/>
      <c r="G54" s="30"/>
      <c r="H54" s="30"/>
      <c r="I54" s="30"/>
      <c r="J54" s="30"/>
      <c r="K54" s="30"/>
      <c r="L54" s="30"/>
      <c r="M54" s="30"/>
      <c r="N54" s="30"/>
      <c r="O54" s="30"/>
      <c r="P54" s="30"/>
    </row>
    <row r="55" spans="1:16" s="4" customFormat="1" ht="14.25" customHeight="1" collapsed="1" x14ac:dyDescent="0.25">
      <c r="A55" s="9"/>
      <c r="B55" s="9"/>
      <c r="C55" s="21" t="s">
        <v>44</v>
      </c>
      <c r="D55" s="15" t="s">
        <v>12</v>
      </c>
      <c r="E55" s="17">
        <f>SUM(F55:P55)</f>
        <v>0</v>
      </c>
      <c r="F55" s="25">
        <f t="shared" ref="F55:P55" si="19">$E$20</f>
        <v>0</v>
      </c>
      <c r="G55" s="25">
        <f t="shared" si="19"/>
        <v>0</v>
      </c>
      <c r="H55" s="25">
        <f t="shared" si="19"/>
        <v>0</v>
      </c>
      <c r="I55" s="25">
        <f t="shared" si="19"/>
        <v>0</v>
      </c>
      <c r="J55" s="25">
        <f t="shared" si="19"/>
        <v>0</v>
      </c>
      <c r="K55" s="25">
        <f t="shared" si="19"/>
        <v>0</v>
      </c>
      <c r="L55" s="25">
        <f t="shared" si="19"/>
        <v>0</v>
      </c>
      <c r="M55" s="25">
        <f t="shared" si="19"/>
        <v>0</v>
      </c>
      <c r="N55" s="25">
        <f t="shared" si="19"/>
        <v>0</v>
      </c>
      <c r="O55" s="25">
        <f t="shared" si="19"/>
        <v>0</v>
      </c>
      <c r="P55" s="25">
        <f t="shared" si="19"/>
        <v>0</v>
      </c>
    </row>
    <row r="56" spans="1:16" s="3" customFormat="1" ht="14.25" hidden="1" customHeight="1" outlineLevel="1" x14ac:dyDescent="0.25">
      <c r="A56" s="24"/>
      <c r="B56" s="24"/>
      <c r="C56" s="21"/>
      <c r="D56" s="16"/>
      <c r="F56" s="26"/>
      <c r="G56" s="26"/>
      <c r="H56" s="26"/>
      <c r="I56" s="26"/>
      <c r="J56" s="26"/>
      <c r="K56" s="26"/>
      <c r="L56" s="26"/>
      <c r="M56" s="26"/>
      <c r="N56" s="26"/>
      <c r="O56" s="26"/>
      <c r="P56" s="26"/>
    </row>
    <row r="57" spans="1:16" ht="14.25" hidden="1" customHeight="1" outlineLevel="1" x14ac:dyDescent="0.25">
      <c r="A57" s="9"/>
      <c r="B57" s="18" t="s">
        <v>33</v>
      </c>
      <c r="C57" s="35"/>
      <c r="D57" s="31"/>
      <c r="E57" s="30"/>
      <c r="F57" s="30"/>
      <c r="G57" s="30"/>
      <c r="H57" s="30"/>
      <c r="I57" s="30"/>
      <c r="J57" s="30"/>
      <c r="K57" s="30"/>
      <c r="L57" s="30"/>
      <c r="M57" s="30"/>
      <c r="N57" s="30"/>
      <c r="O57" s="30"/>
      <c r="P57" s="30"/>
    </row>
    <row r="58" spans="1:16" ht="14.25" hidden="1" customHeight="1" outlineLevel="1" x14ac:dyDescent="0.25">
      <c r="A58" s="9"/>
      <c r="C58" s="57" t="s">
        <v>16</v>
      </c>
      <c r="D58" s="11" t="s">
        <v>12</v>
      </c>
      <c r="E58" s="17">
        <f t="shared" ref="E58:E64" si="20">SUM(F58:P58)</f>
        <v>2765441.0000000005</v>
      </c>
      <c r="F58" s="25">
        <f t="shared" ref="F58:P58" si="21">IF(AND(F23&gt;0,F23&lt;=($E$15)),$E$17,0)</f>
        <v>0</v>
      </c>
      <c r="G58" s="25">
        <f t="shared" si="21"/>
        <v>276544.09999999998</v>
      </c>
      <c r="H58" s="25">
        <f t="shared" si="21"/>
        <v>276544.09999999998</v>
      </c>
      <c r="I58" s="25">
        <f t="shared" si="21"/>
        <v>276544.09999999998</v>
      </c>
      <c r="J58" s="25">
        <f t="shared" si="21"/>
        <v>276544.09999999998</v>
      </c>
      <c r="K58" s="25">
        <f t="shared" si="21"/>
        <v>276544.09999999998</v>
      </c>
      <c r="L58" s="25">
        <f t="shared" si="21"/>
        <v>276544.09999999998</v>
      </c>
      <c r="M58" s="25">
        <f t="shared" si="21"/>
        <v>276544.09999999998</v>
      </c>
      <c r="N58" s="25">
        <f t="shared" si="21"/>
        <v>276544.09999999998</v>
      </c>
      <c r="O58" s="25">
        <f t="shared" si="21"/>
        <v>276544.09999999998</v>
      </c>
      <c r="P58" s="25">
        <f t="shared" si="21"/>
        <v>276544.09999999998</v>
      </c>
    </row>
    <row r="59" spans="1:16" ht="14.25" hidden="1" customHeight="1" outlineLevel="1" x14ac:dyDescent="0.25">
      <c r="A59" s="9"/>
      <c r="C59" s="41" t="s">
        <v>39</v>
      </c>
      <c r="D59" s="11" t="s">
        <v>12</v>
      </c>
      <c r="E59" s="17">
        <f t="shared" si="20"/>
        <v>-1096638.202</v>
      </c>
      <c r="F59" s="29">
        <f t="shared" ref="F59:P59" si="22">IF((F23=0),-$E$7,0)</f>
        <v>-1096638.202</v>
      </c>
      <c r="G59" s="29">
        <f t="shared" si="22"/>
        <v>0</v>
      </c>
      <c r="H59" s="29">
        <f t="shared" si="22"/>
        <v>0</v>
      </c>
      <c r="I59" s="29">
        <f t="shared" si="22"/>
        <v>0</v>
      </c>
      <c r="J59" s="29">
        <f t="shared" si="22"/>
        <v>0</v>
      </c>
      <c r="K59" s="29">
        <f t="shared" si="22"/>
        <v>0</v>
      </c>
      <c r="L59" s="29">
        <f t="shared" si="22"/>
        <v>0</v>
      </c>
      <c r="M59" s="29">
        <f t="shared" si="22"/>
        <v>0</v>
      </c>
      <c r="N59" s="29">
        <f t="shared" si="22"/>
        <v>0</v>
      </c>
      <c r="O59" s="29">
        <f t="shared" si="22"/>
        <v>0</v>
      </c>
      <c r="P59" s="29">
        <f t="shared" si="22"/>
        <v>0</v>
      </c>
    </row>
    <row r="60" spans="1:16" ht="14.25" hidden="1" customHeight="1" outlineLevel="1" x14ac:dyDescent="0.25">
      <c r="A60" s="9"/>
      <c r="C60" s="4" t="s">
        <v>17</v>
      </c>
      <c r="D60" s="11" t="s">
        <v>12</v>
      </c>
      <c r="E60" s="17">
        <f t="shared" si="20"/>
        <v>-1096638.202</v>
      </c>
      <c r="F60" s="42">
        <f t="shared" ref="F60:P60" si="23">SUM(F59:F59)</f>
        <v>-1096638.202</v>
      </c>
      <c r="G60" s="42">
        <f t="shared" si="23"/>
        <v>0</v>
      </c>
      <c r="H60" s="42">
        <f t="shared" si="23"/>
        <v>0</v>
      </c>
      <c r="I60" s="42">
        <f t="shared" si="23"/>
        <v>0</v>
      </c>
      <c r="J60" s="42">
        <f t="shared" si="23"/>
        <v>0</v>
      </c>
      <c r="K60" s="42">
        <f t="shared" si="23"/>
        <v>0</v>
      </c>
      <c r="L60" s="42">
        <f t="shared" si="23"/>
        <v>0</v>
      </c>
      <c r="M60" s="42">
        <f t="shared" si="23"/>
        <v>0</v>
      </c>
      <c r="N60" s="42">
        <f t="shared" si="23"/>
        <v>0</v>
      </c>
      <c r="O60" s="42">
        <f t="shared" si="23"/>
        <v>0</v>
      </c>
      <c r="P60" s="42">
        <f t="shared" si="23"/>
        <v>0</v>
      </c>
    </row>
    <row r="61" spans="1:16" ht="14.25" hidden="1" customHeight="1" outlineLevel="1" x14ac:dyDescent="0.25">
      <c r="A61" s="9"/>
      <c r="C61" s="28" t="s">
        <v>40</v>
      </c>
      <c r="D61" s="11" t="s">
        <v>12</v>
      </c>
      <c r="E61" s="17">
        <f t="shared" si="20"/>
        <v>-275038.19613025634</v>
      </c>
      <c r="F61" s="29">
        <f t="shared" ref="F61:P61" si="24">-F44+F29-F47</f>
        <v>1093896.606495</v>
      </c>
      <c r="G61" s="29">
        <f t="shared" si="24"/>
        <v>-136893.48026252564</v>
      </c>
      <c r="H61" s="29">
        <f t="shared" si="24"/>
        <v>-136893.48026252564</v>
      </c>
      <c r="I61" s="29">
        <f t="shared" si="24"/>
        <v>-136893.48026252561</v>
      </c>
      <c r="J61" s="29">
        <f t="shared" si="24"/>
        <v>-136893.48026252564</v>
      </c>
      <c r="K61" s="29">
        <f t="shared" si="24"/>
        <v>-136893.48026252561</v>
      </c>
      <c r="L61" s="29">
        <f t="shared" si="24"/>
        <v>-136893.48026252561</v>
      </c>
      <c r="M61" s="29">
        <f t="shared" si="24"/>
        <v>-136893.48026252561</v>
      </c>
      <c r="N61" s="29">
        <f t="shared" si="24"/>
        <v>-136893.48026252564</v>
      </c>
      <c r="O61" s="29">
        <f t="shared" si="24"/>
        <v>-136893.48026252567</v>
      </c>
      <c r="P61" s="29">
        <f t="shared" si="24"/>
        <v>-136893.4802625257</v>
      </c>
    </row>
    <row r="62" spans="1:16" ht="14.25" hidden="1" customHeight="1" outlineLevel="1" x14ac:dyDescent="0.25">
      <c r="A62" s="9"/>
      <c r="C62" s="41" t="s">
        <v>45</v>
      </c>
      <c r="D62" s="11" t="s">
        <v>12</v>
      </c>
      <c r="E62" s="17">
        <f t="shared" si="20"/>
        <v>0</v>
      </c>
      <c r="F62" s="29">
        <f t="shared" ref="F62:P62" si="25">IF(F23=0,$E$8,0)</f>
        <v>0</v>
      </c>
      <c r="G62" s="29">
        <f t="shared" si="25"/>
        <v>0</v>
      </c>
      <c r="H62" s="29">
        <f t="shared" si="25"/>
        <v>0</v>
      </c>
      <c r="I62" s="29">
        <f t="shared" si="25"/>
        <v>0</v>
      </c>
      <c r="J62" s="29">
        <f t="shared" si="25"/>
        <v>0</v>
      </c>
      <c r="K62" s="29">
        <f t="shared" si="25"/>
        <v>0</v>
      </c>
      <c r="L62" s="29">
        <f t="shared" si="25"/>
        <v>0</v>
      </c>
      <c r="M62" s="29">
        <f t="shared" si="25"/>
        <v>0</v>
      </c>
      <c r="N62" s="29">
        <f t="shared" si="25"/>
        <v>0</v>
      </c>
      <c r="O62" s="29">
        <f t="shared" si="25"/>
        <v>0</v>
      </c>
      <c r="P62" s="29">
        <f t="shared" si="25"/>
        <v>0</v>
      </c>
    </row>
    <row r="63" spans="1:16" ht="14.25" hidden="1" customHeight="1" outlineLevel="1" x14ac:dyDescent="0.25">
      <c r="A63" s="9"/>
      <c r="C63" s="4" t="s">
        <v>30</v>
      </c>
      <c r="D63" s="11" t="s">
        <v>12</v>
      </c>
      <c r="E63" s="17">
        <f t="shared" si="20"/>
        <v>-275038.19613025634</v>
      </c>
      <c r="F63" s="45">
        <f>SUM(F61:F62)</f>
        <v>1093896.606495</v>
      </c>
      <c r="G63" s="45">
        <f t="shared" ref="G63:P63" si="26">SUM(G61:G62)</f>
        <v>-136893.48026252564</v>
      </c>
      <c r="H63" s="45">
        <f t="shared" si="26"/>
        <v>-136893.48026252564</v>
      </c>
      <c r="I63" s="45">
        <f t="shared" si="26"/>
        <v>-136893.48026252561</v>
      </c>
      <c r="J63" s="45">
        <f t="shared" si="26"/>
        <v>-136893.48026252564</v>
      </c>
      <c r="K63" s="45">
        <f t="shared" si="26"/>
        <v>-136893.48026252561</v>
      </c>
      <c r="L63" s="45">
        <f t="shared" si="26"/>
        <v>-136893.48026252561</v>
      </c>
      <c r="M63" s="45">
        <f t="shared" si="26"/>
        <v>-136893.48026252561</v>
      </c>
      <c r="N63" s="45">
        <f t="shared" si="26"/>
        <v>-136893.48026252564</v>
      </c>
      <c r="O63" s="45">
        <f t="shared" si="26"/>
        <v>-136893.48026252567</v>
      </c>
      <c r="P63" s="45">
        <f t="shared" si="26"/>
        <v>-136893.4802625257</v>
      </c>
    </row>
    <row r="64" spans="1:16" s="3" customFormat="1" ht="14.25" customHeight="1" collapsed="1" x14ac:dyDescent="0.25">
      <c r="A64" s="9"/>
      <c r="C64" s="21" t="s">
        <v>32</v>
      </c>
      <c r="D64" s="15" t="s">
        <v>12</v>
      </c>
      <c r="E64" s="17">
        <f t="shared" si="20"/>
        <v>1393764.6018697431</v>
      </c>
      <c r="F64" s="27">
        <f t="shared" ref="F64:P64" si="27">F58+F60+F63</f>
        <v>-2741.5955050000921</v>
      </c>
      <c r="G64" s="27">
        <f>G58+G60+G63</f>
        <v>139650.61973747434</v>
      </c>
      <c r="H64" s="27">
        <f t="shared" si="27"/>
        <v>139650.61973747434</v>
      </c>
      <c r="I64" s="27">
        <f t="shared" si="27"/>
        <v>139650.61973747436</v>
      </c>
      <c r="J64" s="27">
        <f t="shared" si="27"/>
        <v>139650.61973747434</v>
      </c>
      <c r="K64" s="27">
        <f t="shared" si="27"/>
        <v>139650.61973747436</v>
      </c>
      <c r="L64" s="27">
        <f t="shared" si="27"/>
        <v>139650.61973747436</v>
      </c>
      <c r="M64" s="27">
        <f t="shared" si="27"/>
        <v>139650.61973747436</v>
      </c>
      <c r="N64" s="27">
        <f t="shared" si="27"/>
        <v>139650.61973747434</v>
      </c>
      <c r="O64" s="27">
        <f t="shared" si="27"/>
        <v>139650.61973747431</v>
      </c>
      <c r="P64" s="27">
        <f t="shared" si="27"/>
        <v>139650.61973747428</v>
      </c>
    </row>
    <row r="65" spans="1:16" s="3" customFormat="1" ht="14.25" customHeight="1" x14ac:dyDescent="0.25">
      <c r="C65" s="21"/>
      <c r="D65" s="15"/>
      <c r="E65" s="17"/>
      <c r="F65" s="27"/>
      <c r="G65" s="27"/>
      <c r="H65" s="27"/>
      <c r="I65" s="27"/>
      <c r="J65" s="27"/>
      <c r="K65" s="27"/>
      <c r="L65" s="27"/>
      <c r="M65" s="27"/>
      <c r="N65" s="27"/>
      <c r="O65" s="27"/>
      <c r="P65" s="27"/>
    </row>
    <row r="66" spans="1:16" s="4" customFormat="1" x14ac:dyDescent="0.25">
      <c r="C66" s="46" t="s">
        <v>42</v>
      </c>
      <c r="D66" s="47"/>
      <c r="E66" s="47"/>
      <c r="F66" s="48">
        <f>$E$19</f>
        <v>0</v>
      </c>
      <c r="G66" s="48">
        <f>F68</f>
        <v>-2741.5955050000921</v>
      </c>
      <c r="H66" s="48">
        <f t="shared" ref="H66:P66" si="28">G68</f>
        <v>136909.02423247424</v>
      </c>
      <c r="I66" s="48">
        <f t="shared" si="28"/>
        <v>276559.64396994858</v>
      </c>
      <c r="J66" s="48">
        <f t="shared" si="28"/>
        <v>416210.26370742294</v>
      </c>
      <c r="K66" s="48">
        <f t="shared" si="28"/>
        <v>555860.88344489725</v>
      </c>
      <c r="L66" s="48">
        <f t="shared" si="28"/>
        <v>695511.50318237161</v>
      </c>
      <c r="M66" s="48">
        <f t="shared" si="28"/>
        <v>835162.12291984598</v>
      </c>
      <c r="N66" s="48">
        <f t="shared" si="28"/>
        <v>974812.74265732034</v>
      </c>
      <c r="O66" s="48">
        <f t="shared" si="28"/>
        <v>1114463.3623947946</v>
      </c>
      <c r="P66" s="48">
        <f t="shared" si="28"/>
        <v>1254113.9821322688</v>
      </c>
    </row>
    <row r="67" spans="1:16" s="3" customFormat="1" x14ac:dyDescent="0.25">
      <c r="C67" s="40" t="s">
        <v>31</v>
      </c>
      <c r="D67" s="33"/>
      <c r="E67" s="33"/>
      <c r="F67" s="34">
        <f t="shared" ref="F67:P67" si="29">F55+F64</f>
        <v>-2741.5955050000921</v>
      </c>
      <c r="G67" s="34">
        <f t="shared" si="29"/>
        <v>139650.61973747434</v>
      </c>
      <c r="H67" s="34">
        <f t="shared" si="29"/>
        <v>139650.61973747434</v>
      </c>
      <c r="I67" s="34">
        <f t="shared" si="29"/>
        <v>139650.61973747436</v>
      </c>
      <c r="J67" s="34">
        <f t="shared" si="29"/>
        <v>139650.61973747434</v>
      </c>
      <c r="K67" s="34">
        <f t="shared" si="29"/>
        <v>139650.61973747436</v>
      </c>
      <c r="L67" s="34">
        <f t="shared" si="29"/>
        <v>139650.61973747436</v>
      </c>
      <c r="M67" s="34">
        <f t="shared" si="29"/>
        <v>139650.61973747436</v>
      </c>
      <c r="N67" s="34">
        <f t="shared" si="29"/>
        <v>139650.61973747434</v>
      </c>
      <c r="O67" s="34">
        <f t="shared" si="29"/>
        <v>139650.61973747431</v>
      </c>
      <c r="P67" s="34">
        <f t="shared" si="29"/>
        <v>139650.61973747428</v>
      </c>
    </row>
    <row r="68" spans="1:16" s="4" customFormat="1" x14ac:dyDescent="0.25">
      <c r="C68" s="49" t="s">
        <v>43</v>
      </c>
      <c r="D68" s="44"/>
      <c r="E68" s="44"/>
      <c r="F68" s="50">
        <f>SUM(F66:F67)</f>
        <v>-2741.5955050000921</v>
      </c>
      <c r="G68" s="50">
        <f t="shared" ref="G68:P68" si="30">SUM(G66:G67)</f>
        <v>136909.02423247424</v>
      </c>
      <c r="H68" s="50">
        <f t="shared" si="30"/>
        <v>276559.64396994858</v>
      </c>
      <c r="I68" s="50">
        <f t="shared" si="30"/>
        <v>416210.26370742294</v>
      </c>
      <c r="J68" s="50">
        <f t="shared" si="30"/>
        <v>555860.88344489725</v>
      </c>
      <c r="K68" s="50">
        <f t="shared" si="30"/>
        <v>695511.50318237161</v>
      </c>
      <c r="L68" s="50">
        <f t="shared" si="30"/>
        <v>835162.12291984598</v>
      </c>
      <c r="M68" s="50">
        <f t="shared" si="30"/>
        <v>974812.74265732034</v>
      </c>
      <c r="N68" s="50">
        <f t="shared" si="30"/>
        <v>1114463.3623947946</v>
      </c>
      <c r="O68" s="50">
        <f t="shared" si="30"/>
        <v>1254113.9821322688</v>
      </c>
      <c r="P68" s="50">
        <f t="shared" si="30"/>
        <v>1393764.6018697431</v>
      </c>
    </row>
    <row r="69" spans="1:16" s="3" customFormat="1" x14ac:dyDescent="0.25"/>
    <row r="70" spans="1:16" s="4" customFormat="1" ht="14.25" customHeight="1" x14ac:dyDescent="0.25">
      <c r="C70" s="46" t="s">
        <v>34</v>
      </c>
      <c r="D70" s="55"/>
      <c r="E70" s="56"/>
      <c r="F70" s="48">
        <f t="shared" ref="F70:P70" si="31">F58+F60</f>
        <v>-1096638.202</v>
      </c>
      <c r="G70" s="48">
        <f>G58+G60</f>
        <v>276544.09999999998</v>
      </c>
      <c r="H70" s="48">
        <f t="shared" si="31"/>
        <v>276544.09999999998</v>
      </c>
      <c r="I70" s="48">
        <f t="shared" si="31"/>
        <v>276544.09999999998</v>
      </c>
      <c r="J70" s="48">
        <f t="shared" si="31"/>
        <v>276544.09999999998</v>
      </c>
      <c r="K70" s="48">
        <f t="shared" si="31"/>
        <v>276544.09999999998</v>
      </c>
      <c r="L70" s="48">
        <f t="shared" si="31"/>
        <v>276544.09999999998</v>
      </c>
      <c r="M70" s="48">
        <f t="shared" si="31"/>
        <v>276544.09999999998</v>
      </c>
      <c r="N70" s="48">
        <f t="shared" si="31"/>
        <v>276544.09999999998</v>
      </c>
      <c r="O70" s="48">
        <f t="shared" si="31"/>
        <v>276544.09999999998</v>
      </c>
      <c r="P70" s="48">
        <f t="shared" si="31"/>
        <v>276544.09999999998</v>
      </c>
    </row>
    <row r="71" spans="1:16" s="4" customFormat="1" ht="14.25" customHeight="1" x14ac:dyDescent="0.25">
      <c r="C71" s="51" t="s">
        <v>14</v>
      </c>
      <c r="D71" s="52"/>
      <c r="E71" s="62" t="s">
        <v>15</v>
      </c>
      <c r="F71" s="53">
        <f>1/(1+$E$21)^F25</f>
        <v>1</v>
      </c>
      <c r="G71" s="53">
        <f t="shared" ref="G71:P71" si="32">1/(1+$E$21)^G25</f>
        <v>0.94339622641509424</v>
      </c>
      <c r="H71" s="53">
        <f t="shared" si="32"/>
        <v>0.88999644001423983</v>
      </c>
      <c r="I71" s="53">
        <f t="shared" si="32"/>
        <v>0.8396192830323016</v>
      </c>
      <c r="J71" s="53">
        <f t="shared" si="32"/>
        <v>0.79209366323802044</v>
      </c>
      <c r="K71" s="53">
        <f t="shared" si="32"/>
        <v>0.74725817286605689</v>
      </c>
      <c r="L71" s="53">
        <f t="shared" si="32"/>
        <v>0.70496054043967626</v>
      </c>
      <c r="M71" s="53">
        <f t="shared" si="32"/>
        <v>0.66505711362233599</v>
      </c>
      <c r="N71" s="53">
        <f t="shared" si="32"/>
        <v>0.62741237134182648</v>
      </c>
      <c r="O71" s="53">
        <f t="shared" si="32"/>
        <v>0.59189846353002495</v>
      </c>
      <c r="P71" s="53">
        <f t="shared" si="32"/>
        <v>0.55839477691511785</v>
      </c>
    </row>
    <row r="72" spans="1:16" s="4" customFormat="1" ht="14.25" customHeight="1" x14ac:dyDescent="0.25">
      <c r="C72" s="49" t="s">
        <v>41</v>
      </c>
      <c r="D72" s="54"/>
      <c r="E72" s="63">
        <f>SUM(F72:P72)</f>
        <v>938750.44755513023</v>
      </c>
      <c r="F72" s="50">
        <f>F70*F71</f>
        <v>-1096638.202</v>
      </c>
      <c r="G72" s="50">
        <f>G70*G71</f>
        <v>260890.66037735844</v>
      </c>
      <c r="H72" s="50">
        <f t="shared" ref="H72:P72" si="33">H70*H71</f>
        <v>246123.26450694192</v>
      </c>
      <c r="I72" s="50">
        <f t="shared" si="33"/>
        <v>232191.75896881308</v>
      </c>
      <c r="J72" s="50">
        <f t="shared" si="33"/>
        <v>219048.82921586142</v>
      </c>
      <c r="K72" s="50">
        <f t="shared" si="33"/>
        <v>206649.83888288811</v>
      </c>
      <c r="L72" s="50">
        <f t="shared" si="33"/>
        <v>194952.67819140386</v>
      </c>
      <c r="M72" s="50">
        <f t="shared" si="33"/>
        <v>183917.62093528663</v>
      </c>
      <c r="N72" s="50">
        <f t="shared" si="33"/>
        <v>173507.18956159119</v>
      </c>
      <c r="O72" s="50">
        <f t="shared" si="33"/>
        <v>163686.02788829355</v>
      </c>
      <c r="P72" s="50">
        <f t="shared" si="33"/>
        <v>154420.78102669204</v>
      </c>
    </row>
    <row r="73" spans="1:16" x14ac:dyDescent="0.25">
      <c r="D73"/>
      <c r="M73" s="32"/>
      <c r="N73" s="32"/>
      <c r="O73" s="32"/>
      <c r="P73" s="32"/>
    </row>
    <row r="74" spans="1:16" x14ac:dyDescent="0.25">
      <c r="A74" s="1" t="s">
        <v>22</v>
      </c>
      <c r="B74" s="1"/>
      <c r="C74" s="1"/>
      <c r="D74" s="12"/>
      <c r="E74" s="1"/>
      <c r="F74" s="2"/>
      <c r="G74" s="2"/>
      <c r="H74" s="2"/>
      <c r="I74" s="2"/>
      <c r="J74" s="2"/>
      <c r="K74" s="2"/>
      <c r="L74" s="2"/>
      <c r="M74" s="2"/>
      <c r="N74" s="2"/>
      <c r="O74" s="2"/>
      <c r="P74" s="2"/>
    </row>
  </sheetData>
  <dataValidations count="1">
    <dataValidation type="whole" errorStyle="information" operator="lessThanOrEqual" allowBlank="1" showErrorMessage="1" error="Maximum Loan Tenor is 10 Years" sqref="E10" xr:uid="{13899847-590C-4E01-A24D-FA8C392522A6}">
      <formula1>MaxLoan</formula1>
    </dataValidation>
  </dataValidations>
  <hyperlinks>
    <hyperlink ref="C51" location="'Project Summary'!K1" display="Back to Summary" xr:uid="{5B080F57-205D-44AB-962C-8075C84C096F}"/>
    <hyperlink ref="C39" location="'Project Summary'!K1" display="Back to Summary" xr:uid="{99421D6D-1C81-454E-96E0-8B8ABDD65EE9}"/>
  </hyperlinks>
  <pageMargins left="0.23622047244094491" right="0.23622047244094491" top="0.74803149606299213" bottom="0.74803149606299213" header="0.31496062992125984" footer="0.31496062992125984"/>
  <pageSetup paperSize="9" scale="52"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9DC83-BD02-4E9C-8E78-AEAD08F4CF64}">
  <sheetPr>
    <tabColor theme="4"/>
    <pageSetUpPr fitToPage="1"/>
  </sheetPr>
  <dimension ref="A1:Q47"/>
  <sheetViews>
    <sheetView zoomScale="85" zoomScaleNormal="85" workbookViewId="0">
      <selection activeCell="E18" sqref="E18"/>
    </sheetView>
  </sheetViews>
  <sheetFormatPr defaultColWidth="9.140625" defaultRowHeight="15" x14ac:dyDescent="0.25"/>
  <cols>
    <col min="1" max="1" width="3.28515625" style="189" customWidth="1"/>
    <col min="2" max="2" width="41.5703125" style="189" customWidth="1"/>
    <col min="3" max="3" width="24.42578125" style="189" customWidth="1"/>
    <col min="4" max="4" width="4.28515625" style="189" customWidth="1"/>
    <col min="5" max="5" width="79" style="189" customWidth="1"/>
    <col min="6" max="6" width="6.140625" style="189" customWidth="1"/>
    <col min="7" max="16384" width="9.140625" style="189"/>
  </cols>
  <sheetData>
    <row r="1" spans="1:6" x14ac:dyDescent="0.25">
      <c r="A1" s="212"/>
      <c r="B1" s="212"/>
      <c r="C1" s="212"/>
      <c r="D1" s="212"/>
      <c r="E1" s="212"/>
    </row>
    <row r="2" spans="1:6" ht="30" customHeight="1" x14ac:dyDescent="0.45">
      <c r="A2" s="213"/>
      <c r="B2" s="211" t="s">
        <v>247</v>
      </c>
      <c r="C2" s="213"/>
      <c r="D2" s="211"/>
      <c r="E2" s="213"/>
    </row>
    <row r="3" spans="1:6" s="191" customFormat="1" ht="15" customHeight="1" x14ac:dyDescent="0.25">
      <c r="B3" s="190"/>
      <c r="F3" s="192"/>
    </row>
    <row r="4" spans="1:6" s="191" customFormat="1" ht="23.45" customHeight="1" x14ac:dyDescent="0.25">
      <c r="B4" s="193" t="s">
        <v>240</v>
      </c>
    </row>
    <row r="5" spans="1:6" s="191" customFormat="1" ht="21.75" customHeight="1" x14ac:dyDescent="0.25">
      <c r="B5" s="178" t="s">
        <v>231</v>
      </c>
      <c r="C5" s="177">
        <f>CashFlow!E17</f>
        <v>276544.09999999998</v>
      </c>
      <c r="E5" s="194" t="str">
        <f>IF(C5&gt;0,"The estimated annual cash SAVING as a result of the street lighting upgrades","The estimated amount that Council will need to fund from operating profit each year")</f>
        <v>The estimated annual cash SAVING as a result of the street lighting upgrades</v>
      </c>
    </row>
    <row r="6" spans="1:6" s="191" customFormat="1" ht="21.75" customHeight="1" x14ac:dyDescent="0.25">
      <c r="B6" s="178" t="s">
        <v>232</v>
      </c>
      <c r="C6" s="181">
        <f>'Lighting Outputs'!C20/CashFlow!E17</f>
        <v>3.9655093057490656</v>
      </c>
      <c r="E6" s="194" t="s">
        <v>241</v>
      </c>
    </row>
    <row r="7" spans="1:6" s="191" customFormat="1" ht="21.75" customHeight="1" x14ac:dyDescent="0.25">
      <c r="B7" s="178" t="s">
        <v>230</v>
      </c>
      <c r="C7" s="177">
        <f>CashFlow!J20</f>
        <v>938750.44755513023</v>
      </c>
      <c r="E7" s="194" t="s">
        <v>278</v>
      </c>
    </row>
    <row r="8" spans="1:6" s="191" customFormat="1" ht="21.75" customHeight="1" x14ac:dyDescent="0.25">
      <c r="B8" s="178" t="s">
        <v>276</v>
      </c>
      <c r="C8" s="200">
        <f>('Lighting Calcs'!G39-'Lighting Calcs'!X39)/'Lighting Calcs'!G39</f>
        <v>0.56464029731882137</v>
      </c>
      <c r="E8" s="194" t="s">
        <v>277</v>
      </c>
    </row>
    <row r="9" spans="1:6" s="191" customFormat="1" ht="21.75" customHeight="1" x14ac:dyDescent="0.25">
      <c r="B9" s="178" t="s">
        <v>233</v>
      </c>
      <c r="C9" s="181">
        <f>'Lighting Outputs'!E31</f>
        <v>791.084475</v>
      </c>
      <c r="E9" s="194" t="str">
        <f>"Roughly equivalent to taking " &amp; F9 &amp; " passenger vehicles off the road"</f>
        <v>Roughly equivalent to taking 172 passenger vehicles off the road</v>
      </c>
      <c r="F9" s="201">
        <f>ROUND(C9/4.6,0)</f>
        <v>172</v>
      </c>
    </row>
    <row r="10" spans="1:6" s="191" customFormat="1" ht="15" customHeight="1" x14ac:dyDescent="0.25">
      <c r="E10" s="194"/>
    </row>
    <row r="11" spans="1:6" s="191" customFormat="1" ht="23.25" customHeight="1" x14ac:dyDescent="0.25">
      <c r="B11" s="193" t="s">
        <v>239</v>
      </c>
      <c r="E11" s="194"/>
    </row>
    <row r="12" spans="1:6" s="191" customFormat="1" ht="23.25" customHeight="1" x14ac:dyDescent="0.25">
      <c r="B12" s="178" t="s">
        <v>229</v>
      </c>
      <c r="C12" s="180">
        <f>CashFlow!E12</f>
        <v>4.2500000000000003E-2</v>
      </c>
      <c r="E12" s="194"/>
    </row>
    <row r="13" spans="1:6" s="191" customFormat="1" ht="23.25" customHeight="1" x14ac:dyDescent="0.25">
      <c r="B13" s="178" t="s">
        <v>238</v>
      </c>
      <c r="C13" s="184">
        <f>CashFlow!E10</f>
        <v>10</v>
      </c>
      <c r="E13" s="194"/>
    </row>
    <row r="14" spans="1:6" s="191" customFormat="1" ht="23.25" customHeight="1" x14ac:dyDescent="0.25">
      <c r="B14" s="178" t="s">
        <v>237</v>
      </c>
      <c r="C14" s="177">
        <f>CashFlow!G47</f>
        <v>136893.48026252564</v>
      </c>
      <c r="E14" s="194" t="s">
        <v>243</v>
      </c>
    </row>
    <row r="15" spans="1:6" s="191" customFormat="1" ht="23.25" customHeight="1" x14ac:dyDescent="0.25">
      <c r="B15" s="178" t="s">
        <v>235</v>
      </c>
      <c r="C15" s="177">
        <f>-CashFlow!G50</f>
        <v>139650.61973747434</v>
      </c>
      <c r="E15" s="194" t="str">
        <f>IF(C15&gt;0,"The estimated annual cash saving AFTER the required repayments on debt funding","The estimated amount inclusive of debt repayments that Council will need to fund from operating profit each year")</f>
        <v>The estimated annual cash saving AFTER the required repayments on debt funding</v>
      </c>
    </row>
    <row r="16" spans="1:6" s="191" customFormat="1" ht="15" customHeight="1" x14ac:dyDescent="0.25">
      <c r="B16" s="190"/>
    </row>
    <row r="17" spans="5:17" s="191" customFormat="1" ht="23.25" customHeight="1" x14ac:dyDescent="0.25"/>
    <row r="18" spans="5:17" s="191" customFormat="1" ht="28.5" customHeight="1" x14ac:dyDescent="0.25">
      <c r="E18" s="194" t="s">
        <v>279</v>
      </c>
    </row>
    <row r="19" spans="5:17" s="191" customFormat="1" ht="28.5" customHeight="1" x14ac:dyDescent="0.25">
      <c r="E19" s="194" t="s">
        <v>249</v>
      </c>
    </row>
    <row r="20" spans="5:17" s="191" customFormat="1" ht="28.5" customHeight="1" x14ac:dyDescent="0.25">
      <c r="E20" s="194" t="s">
        <v>250</v>
      </c>
    </row>
    <row r="21" spans="5:17" s="191" customFormat="1" ht="28.5" customHeight="1" x14ac:dyDescent="0.25">
      <c r="E21" s="194" t="s">
        <v>251</v>
      </c>
    </row>
    <row r="22" spans="5:17" s="191" customFormat="1" ht="28.5" customHeight="1" x14ac:dyDescent="0.25"/>
    <row r="23" spans="5:17" s="191" customFormat="1" ht="28.5" customHeight="1" x14ac:dyDescent="0.25"/>
    <row r="24" spans="5:17" s="191" customFormat="1" ht="28.5" customHeight="1" x14ac:dyDescent="0.25"/>
    <row r="25" spans="5:17" s="191" customFormat="1" ht="27.75" customHeight="1" x14ac:dyDescent="0.25"/>
    <row r="26" spans="5:17" s="195" customFormat="1" ht="23.45" customHeight="1" x14ac:dyDescent="0.25">
      <c r="J26" s="191"/>
      <c r="K26" s="191"/>
      <c r="L26" s="191"/>
      <c r="M26" s="191"/>
      <c r="N26" s="191"/>
      <c r="O26" s="191"/>
      <c r="P26" s="191"/>
      <c r="Q26" s="191"/>
    </row>
    <row r="27" spans="5:17" s="195" customFormat="1" ht="23.45" customHeight="1" x14ac:dyDescent="0.25">
      <c r="J27" s="191"/>
      <c r="K27" s="191"/>
      <c r="L27" s="191"/>
      <c r="M27" s="191"/>
      <c r="N27" s="191"/>
      <c r="O27" s="191"/>
      <c r="P27" s="191"/>
      <c r="Q27" s="191"/>
    </row>
    <row r="28" spans="5:17" s="195" customFormat="1" ht="30" customHeight="1" x14ac:dyDescent="0.25">
      <c r="J28" s="191"/>
      <c r="K28" s="191"/>
      <c r="L28" s="191"/>
      <c r="M28" s="191"/>
      <c r="N28" s="191"/>
      <c r="O28" s="191"/>
      <c r="P28" s="191"/>
      <c r="Q28" s="191"/>
    </row>
    <row r="29" spans="5:17" s="195" customFormat="1" ht="30" customHeight="1" x14ac:dyDescent="0.25">
      <c r="J29" s="191"/>
      <c r="K29" s="191"/>
      <c r="L29" s="191"/>
      <c r="M29" s="191"/>
      <c r="N29" s="191"/>
      <c r="O29" s="191"/>
      <c r="P29" s="191"/>
      <c r="Q29" s="191"/>
    </row>
    <row r="30" spans="5:17" s="195" customFormat="1" ht="30" customHeight="1" x14ac:dyDescent="0.25">
      <c r="J30" s="191"/>
      <c r="K30" s="191"/>
      <c r="L30" s="191"/>
      <c r="M30" s="191"/>
      <c r="N30" s="191"/>
      <c r="O30" s="191"/>
      <c r="P30" s="191"/>
      <c r="Q30" s="191"/>
    </row>
    <row r="31" spans="5:17" s="195" customFormat="1" ht="30" customHeight="1" x14ac:dyDescent="0.25"/>
    <row r="32" spans="5:17" s="195" customFormat="1" ht="30" customHeight="1" x14ac:dyDescent="0.25">
      <c r="J32" s="195" t="s">
        <v>234</v>
      </c>
    </row>
    <row r="33" s="195" customFormat="1" ht="15" customHeight="1" x14ac:dyDescent="0.25"/>
    <row r="34" s="195" customFormat="1" ht="30" customHeight="1" x14ac:dyDescent="0.25"/>
    <row r="35" s="195" customFormat="1" x14ac:dyDescent="0.25"/>
    <row r="36" s="195" customFormat="1" x14ac:dyDescent="0.25"/>
    <row r="37" s="196" customFormat="1" x14ac:dyDescent="0.25"/>
    <row r="38" s="196" customFormat="1" ht="40.5" customHeight="1" x14ac:dyDescent="0.25"/>
    <row r="39" s="196" customFormat="1" x14ac:dyDescent="0.25"/>
    <row r="40" s="196" customFormat="1" x14ac:dyDescent="0.25"/>
    <row r="41" s="196" customFormat="1" x14ac:dyDescent="0.25"/>
    <row r="42" s="196" customFormat="1" x14ac:dyDescent="0.25"/>
    <row r="43" s="196" customFormat="1" x14ac:dyDescent="0.25"/>
    <row r="44" s="196" customFormat="1" x14ac:dyDescent="0.25"/>
    <row r="45" s="196" customFormat="1" x14ac:dyDescent="0.25"/>
    <row r="46" s="196" customFormat="1" x14ac:dyDescent="0.25"/>
    <row r="47" s="196" customFormat="1" x14ac:dyDescent="0.25"/>
  </sheetData>
  <conditionalFormatting sqref="C15">
    <cfRule type="cellIs" dxfId="1" priority="2" operator="greaterThan">
      <formula>0</formula>
    </cfRule>
  </conditionalFormatting>
  <conditionalFormatting sqref="C5">
    <cfRule type="cellIs" dxfId="0" priority="1" operator="greaterThan">
      <formula>0</formula>
    </cfRule>
  </conditionalFormatting>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About the Model &amp; How To Guide</vt:lpstr>
      <vt:lpstr>Lighting Assumptions</vt:lpstr>
      <vt:lpstr>Lighting Calcs</vt:lpstr>
      <vt:lpstr>Lighting Outputs</vt:lpstr>
      <vt:lpstr>CashFlow</vt:lpstr>
      <vt:lpstr>Financing Outputs</vt:lpstr>
      <vt:lpstr>Assumed_operating_hours_per_year_for_enviro_certificates</vt:lpstr>
      <vt:lpstr>Controls_Cost</vt:lpstr>
      <vt:lpstr>End_Use_Emissions_Intensity__t_CO2_e_MWh</vt:lpstr>
      <vt:lpstr>Enviro_Certificate_Conversion_Factor</vt:lpstr>
      <vt:lpstr>Enviro_Certificate_Years</vt:lpstr>
      <vt:lpstr>Estimated_Net_Enviro_Certificate_Value</vt:lpstr>
      <vt:lpstr>Nominal_council_discount_rate</vt:lpstr>
      <vt:lpstr>Operating_hours_per_year</vt:lpstr>
      <vt:lpstr>'About the Model &amp; How To Guide'!Print_Area</vt:lpstr>
      <vt:lpstr>CashFlow!Print_Area</vt:lpstr>
      <vt:lpstr>'Financing Outputs'!Print_Area</vt:lpstr>
      <vt:lpstr>'Lighting Outputs'!Print_Area</vt:lpstr>
      <vt:lpstr>CashFlow!Print_Titles</vt:lpstr>
      <vt:lpstr>Project_management_cost_and_contingency</vt:lpstr>
      <vt:lpstr>Total_Energy_Cost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Davidson</dc:creator>
  <cp:lastModifiedBy>Karinna Handley</cp:lastModifiedBy>
  <cp:lastPrinted>2016-05-27T02:10:02Z</cp:lastPrinted>
  <dcterms:created xsi:type="dcterms:W3CDTF">2016-05-05T02:24:59Z</dcterms:created>
  <dcterms:modified xsi:type="dcterms:W3CDTF">2019-05-10T07:03:56Z</dcterms:modified>
</cp:coreProperties>
</file>